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alu-my.sharepoint.com/personal/bertram_international-aluminium_org/Documents/Marlen/IAI/Recycling/Carbon Footprint of Scrap/"/>
    </mc:Choice>
  </mc:AlternateContent>
  <xr:revisionPtr revIDLastSave="161" documentId="8_{AE07C941-781F-496A-9E11-9E594E0AA6DF}" xr6:coauthVersionLast="47" xr6:coauthVersionMax="47" xr10:uidLastSave="{14AE8FD5-4B0B-44AE-A864-BF3F5BF34958}"/>
  <bookViews>
    <workbookView xWindow="-110" yWindow="-110" windowWidth="38620" windowHeight="21100" tabRatio="885" firstSheet="1" activeTab="1" xr2:uid="{7E55A106-30C1-400D-98FA-A461793CDB4F}"/>
  </bookViews>
  <sheets>
    <sheet name="Synthesis" sheetId="4" state="hidden" r:id="rId1"/>
    <sheet name="Synthesis-Final" sheetId="12" r:id="rId2"/>
    <sheet name="Co-product-Final" sheetId="11" r:id="rId3"/>
  </sheets>
  <definedNames>
    <definedName name="_Toc112422176" localSheetId="0">Synthesis!$I$36</definedName>
    <definedName name="_Toc112422176" localSheetId="1">'Synthesis-Final'!$K$37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2" l="1"/>
  <c r="D34" i="12" s="1"/>
  <c r="E32" i="12"/>
  <c r="C81" i="12" s="1"/>
  <c r="D29" i="11" l="1"/>
  <c r="D42" i="11"/>
  <c r="F29" i="11"/>
  <c r="C39" i="11" l="1"/>
  <c r="C38" i="11"/>
  <c r="C37" i="11"/>
  <c r="C35" i="11"/>
  <c r="C26" i="11"/>
  <c r="C25" i="11"/>
  <c r="C24" i="11"/>
  <c r="C22" i="11"/>
  <c r="J14" i="11"/>
  <c r="H14" i="11"/>
  <c r="F14" i="11"/>
  <c r="D13" i="11"/>
  <c r="C13" i="11"/>
  <c r="D12" i="11"/>
  <c r="C12" i="11"/>
  <c r="D11" i="11"/>
  <c r="C11" i="11"/>
  <c r="E34" i="12"/>
  <c r="C87" i="12" s="1"/>
  <c r="E33" i="12"/>
  <c r="L41" i="12"/>
  <c r="L40" i="12"/>
  <c r="L39" i="12"/>
  <c r="L38" i="12"/>
  <c r="D21" i="11" l="1"/>
  <c r="Z27" i="12"/>
  <c r="Z19" i="12" s="1"/>
  <c r="Z20" i="12" s="1"/>
  <c r="Y27" i="12" l="1"/>
  <c r="Y19" i="12" s="1"/>
  <c r="Y20" i="12" s="1"/>
  <c r="Y21" i="12" s="1"/>
  <c r="AA27" i="12"/>
  <c r="AA19" i="12" s="1"/>
  <c r="AA20" i="12" s="1"/>
  <c r="E46" i="12"/>
  <c r="H40" i="11"/>
  <c r="D36" i="11"/>
  <c r="D35" i="11"/>
  <c r="J27" i="11"/>
  <c r="H27" i="11"/>
  <c r="D23" i="11"/>
  <c r="D22" i="11"/>
  <c r="D20" i="11"/>
  <c r="AA27" i="4"/>
  <c r="AA28" i="4"/>
  <c r="C68" i="12" l="1"/>
  <c r="AA28" i="12"/>
  <c r="Y28" i="12"/>
  <c r="E39" i="12"/>
  <c r="C53" i="12" s="1"/>
  <c r="D24" i="11"/>
  <c r="D37" i="11"/>
  <c r="C74" i="12" l="1"/>
  <c r="D38" i="11"/>
  <c r="AA21" i="12"/>
  <c r="D25" i="11"/>
  <c r="E41" i="12" l="1"/>
  <c r="C55" i="12" s="1"/>
  <c r="D26" i="11"/>
  <c r="F40" i="11"/>
  <c r="D39" i="11"/>
  <c r="G28" i="12" l="1"/>
  <c r="Z28" i="4"/>
  <c r="Y28" i="4"/>
  <c r="Z27" i="4"/>
  <c r="E39" i="11"/>
  <c r="I38" i="11"/>
  <c r="H37" i="11"/>
  <c r="F37" i="11"/>
  <c r="E37" i="11"/>
  <c r="H36" i="11"/>
  <c r="I36" i="11" s="1"/>
  <c r="F36" i="11"/>
  <c r="E36" i="11"/>
  <c r="H35" i="11"/>
  <c r="F35" i="11"/>
  <c r="D34" i="11"/>
  <c r="H34" i="11" s="1"/>
  <c r="D33" i="11"/>
  <c r="H33" i="11" s="1"/>
  <c r="K26" i="11"/>
  <c r="I26" i="11"/>
  <c r="G26" i="11"/>
  <c r="E26" i="11"/>
  <c r="K25" i="11"/>
  <c r="E23" i="11"/>
  <c r="G13" i="11"/>
  <c r="I12" i="11"/>
  <c r="G36" i="11" l="1"/>
  <c r="F33" i="11"/>
  <c r="Z28" i="12"/>
  <c r="I35" i="11"/>
  <c r="J11" i="11"/>
  <c r="K11" i="11" s="1"/>
  <c r="H11" i="11"/>
  <c r="I11" i="11" s="1"/>
  <c r="F11" i="11"/>
  <c r="G11" i="11" s="1"/>
  <c r="G37" i="11"/>
  <c r="I37" i="11"/>
  <c r="N11" i="11"/>
  <c r="K12" i="11"/>
  <c r="F34" i="11"/>
  <c r="G39" i="11"/>
  <c r="E22" i="11"/>
  <c r="I39" i="11"/>
  <c r="I13" i="11"/>
  <c r="K13" i="11"/>
  <c r="E35" i="11"/>
  <c r="G35" i="11"/>
  <c r="E13" i="11"/>
  <c r="E38" i="11"/>
  <c r="E24" i="11"/>
  <c r="G38" i="11"/>
  <c r="E11" i="11"/>
  <c r="E25" i="11"/>
  <c r="G25" i="11"/>
  <c r="E12" i="11"/>
  <c r="I25" i="11"/>
  <c r="G12" i="11"/>
  <c r="Z21" i="12" l="1"/>
  <c r="I14" i="11"/>
  <c r="C20" i="11" s="1"/>
  <c r="C42" i="12" s="1"/>
  <c r="K14" i="11"/>
  <c r="C21" i="11" s="1"/>
  <c r="C43" i="12" s="1"/>
  <c r="G14" i="11"/>
  <c r="C39" i="12" s="1"/>
  <c r="E14" i="11"/>
  <c r="F27" i="11" l="1"/>
  <c r="E40" i="12"/>
  <c r="C54" i="12" s="1"/>
  <c r="N12" i="11"/>
  <c r="E21" i="11"/>
  <c r="E20" i="11"/>
  <c r="N20" i="11"/>
  <c r="E27" i="11" l="1"/>
  <c r="F20" i="11"/>
  <c r="G20" i="11" s="1"/>
  <c r="F24" i="11"/>
  <c r="G24" i="11" s="1"/>
  <c r="H23" i="11"/>
  <c r="I23" i="11" s="1"/>
  <c r="J23" i="11"/>
  <c r="K23" i="11" s="1"/>
  <c r="F23" i="11"/>
  <c r="J22" i="11"/>
  <c r="K22" i="11" s="1"/>
  <c r="H22" i="11"/>
  <c r="I22" i="11" s="1"/>
  <c r="J24" i="11"/>
  <c r="K24" i="11" s="1"/>
  <c r="H29" i="11"/>
  <c r="F22" i="11"/>
  <c r="G22" i="11" s="1"/>
  <c r="J20" i="11"/>
  <c r="K20" i="11" s="1"/>
  <c r="H24" i="11"/>
  <c r="I24" i="11" s="1"/>
  <c r="J21" i="11"/>
  <c r="K21" i="11" s="1"/>
  <c r="J29" i="11"/>
  <c r="H20" i="11"/>
  <c r="I20" i="11" s="1"/>
  <c r="H21" i="11"/>
  <c r="I21" i="11" s="1"/>
  <c r="F21" i="11"/>
  <c r="G21" i="11" s="1"/>
  <c r="C61" i="12" l="1"/>
  <c r="C75" i="12" s="1"/>
  <c r="H42" i="11"/>
  <c r="G23" i="11"/>
  <c r="I27" i="11"/>
  <c r="K27" i="11"/>
  <c r="G27" i="11"/>
  <c r="C40" i="12" s="1"/>
  <c r="C69" i="12"/>
  <c r="C34" i="11" l="1"/>
  <c r="C45" i="12" s="1"/>
  <c r="C33" i="11"/>
  <c r="E34" i="11"/>
  <c r="G34" i="11"/>
  <c r="I34" i="11"/>
  <c r="C82" i="12"/>
  <c r="N33" i="11"/>
  <c r="E33" i="11"/>
  <c r="N21" i="11"/>
  <c r="F42" i="11"/>
  <c r="C62" i="12"/>
  <c r="C76" i="12" s="1"/>
  <c r="I33" i="11" l="1"/>
  <c r="I40" i="11" s="1"/>
  <c r="C44" i="12"/>
  <c r="G33" i="11"/>
  <c r="G40" i="11" s="1"/>
  <c r="E40" i="11"/>
  <c r="E21" i="4"/>
  <c r="M39" i="4"/>
  <c r="G28" i="4"/>
  <c r="E33" i="4"/>
  <c r="E34" i="4"/>
  <c r="C45" i="11" l="1"/>
  <c r="C41" i="12"/>
  <c r="C83" i="12" s="1"/>
  <c r="C84" i="12" s="1"/>
  <c r="N34" i="11"/>
  <c r="C46" i="12"/>
  <c r="C86" i="12"/>
  <c r="E32" i="4"/>
  <c r="E22" i="4"/>
  <c r="E24" i="4"/>
  <c r="E25" i="4"/>
  <c r="E26" i="4"/>
  <c r="E56" i="4"/>
  <c r="E55" i="4"/>
  <c r="E52" i="4"/>
  <c r="E58" i="4"/>
  <c r="E53" i="4"/>
  <c r="E64" i="4" s="1"/>
  <c r="C52" i="4"/>
  <c r="D53" i="4"/>
  <c r="D64" i="4" s="1"/>
  <c r="D54" i="4"/>
  <c r="D65" i="4" s="1"/>
  <c r="D52" i="4"/>
  <c r="D59" i="4"/>
  <c r="D58" i="4"/>
  <c r="D57" i="4"/>
  <c r="D56" i="4"/>
  <c r="D55" i="4"/>
  <c r="C59" i="4"/>
  <c r="C58" i="4"/>
  <c r="C57" i="4"/>
  <c r="C56" i="4"/>
  <c r="C55" i="4"/>
  <c r="C88" i="12" l="1"/>
  <c r="C48" i="12"/>
  <c r="E43" i="4"/>
  <c r="E39" i="4"/>
  <c r="D63" i="4"/>
  <c r="E63" i="4"/>
  <c r="C63" i="4"/>
  <c r="D44" i="4"/>
  <c r="D45" i="4"/>
  <c r="D43" i="4"/>
  <c r="D46" i="4"/>
  <c r="C53" i="4"/>
  <c r="C64" i="4" s="1"/>
  <c r="C54" i="4"/>
  <c r="C65" i="4" s="1"/>
  <c r="D42" i="4"/>
  <c r="E57" i="4" l="1"/>
  <c r="D41" i="4"/>
  <c r="D72" i="4" s="1"/>
  <c r="D40" i="4"/>
  <c r="D71" i="4" s="1"/>
  <c r="C41" i="4"/>
  <c r="C72" i="4" s="1"/>
  <c r="E44" i="4" l="1"/>
  <c r="E42" i="4"/>
  <c r="E45" i="4"/>
  <c r="C40" i="4"/>
  <c r="C71" i="4" s="1"/>
  <c r="C39" i="4"/>
  <c r="C70" i="4" s="1"/>
  <c r="D39" i="4"/>
  <c r="E59" i="4"/>
  <c r="E54" i="4"/>
  <c r="E65" i="4" s="1"/>
  <c r="E40" i="4" l="1"/>
  <c r="E70" i="4"/>
  <c r="D70" i="4"/>
  <c r="D48" i="4"/>
  <c r="C48" i="4"/>
  <c r="E41" i="4" l="1"/>
  <c r="E46" i="4"/>
  <c r="E48" i="4"/>
  <c r="E71" i="4" l="1"/>
  <c r="E72" i="4" l="1"/>
</calcChain>
</file>

<file path=xl/sharedStrings.xml><?xml version="1.0" encoding="utf-8"?>
<sst xmlns="http://schemas.openxmlformats.org/spreadsheetml/2006/main" count="277" uniqueCount="105">
  <si>
    <t>Carbon footprint of recycled aluminium - A complex scrap flow system (Synthesis)</t>
  </si>
  <si>
    <t>Definitions</t>
  </si>
  <si>
    <r>
      <t>Process Scrap:</t>
    </r>
    <r>
      <rPr>
        <sz val="11"/>
        <rFont val="Calibri"/>
        <family val="2"/>
        <scheme val="minor"/>
      </rPr>
      <t xml:space="preserve"> New scrap from a previous product system and used as input for another product system. The production process and the remelting process are part of two different product systems in terms of LCA.</t>
    </r>
  </si>
  <si>
    <r>
      <t>Inside Scrap</t>
    </r>
    <r>
      <rPr>
        <sz val="11"/>
        <rFont val="Calibri"/>
        <family val="2"/>
        <scheme val="minor"/>
      </rPr>
      <t>: New scrap from a previous product system and used as input for the same product system.  The production process and the remelting process are part of the same product systems in terms of LCA.</t>
    </r>
  </si>
  <si>
    <r>
      <t xml:space="preserve">Post-consumer scrap: </t>
    </r>
    <r>
      <rPr>
        <sz val="11"/>
        <rFont val="Calibri"/>
        <family val="2"/>
        <scheme val="minor"/>
      </rPr>
      <t>Scrap arising from products after use.</t>
    </r>
  </si>
  <si>
    <t>Cell can be changed by the user</t>
  </si>
  <si>
    <t>Results</t>
  </si>
  <si>
    <t>Specific CF
(t CO2 eq./t)</t>
  </si>
  <si>
    <t>Region</t>
  </si>
  <si>
    <t>Substitution - Credit for process scrap
(t CO2 eq./t)</t>
  </si>
  <si>
    <r>
      <rPr>
        <i/>
        <u/>
        <sz val="11"/>
        <color theme="0" tint="-0.499984740745262"/>
        <rFont val="Calibri"/>
        <family val="2"/>
        <scheme val="minor"/>
      </rPr>
      <t>Checks :</t>
    </r>
    <r>
      <rPr>
        <i/>
        <sz val="11"/>
        <color theme="0" tint="-0.499984740745262"/>
        <rFont val="Calibri"/>
        <family val="2"/>
        <scheme val="minor"/>
      </rPr>
      <t xml:space="preserve">
Inputs (t)</t>
    </r>
  </si>
  <si>
    <t>Primary Al semi-fab ingot</t>
  </si>
  <si>
    <t>Primary Al ingot 2</t>
  </si>
  <si>
    <t>Primary Al ingot 3</t>
  </si>
  <si>
    <t>Recycling, remelt &amp; casting 2</t>
  </si>
  <si>
    <t>Recycling, remelt &amp; casting 3</t>
  </si>
  <si>
    <t>Semi-fab 1</t>
  </si>
  <si>
    <t>Europe</t>
  </si>
  <si>
    <t>Semi-fab 2</t>
  </si>
  <si>
    <t>Semi-fab 3</t>
  </si>
  <si>
    <t>Fab &amp; assembly 1</t>
  </si>
  <si>
    <t>Fab &amp; assembly 2</t>
  </si>
  <si>
    <t>Fab &amp; assembly 3</t>
  </si>
  <si>
    <t>Checks Total emissions (t CO2 eq.):</t>
  </si>
  <si>
    <t>End-of life scenario assumptions</t>
  </si>
  <si>
    <t>Product</t>
  </si>
  <si>
    <t>End-of-life recycling ratio</t>
  </si>
  <si>
    <t>Region for end-of-life</t>
  </si>
  <si>
    <t>Average regional aluminium emissions
(t CO2 eq./t)</t>
  </si>
  <si>
    <t>Product 1</t>
  </si>
  <si>
    <t>Product 2</t>
  </si>
  <si>
    <t>Product 3</t>
  </si>
  <si>
    <t>Cradle-to-gate carbon footprint (t CO2 eq./t)</t>
  </si>
  <si>
    <t xml:space="preserve">Regional default values for carbon footprint of process scrap </t>
  </si>
  <si>
    <t>Cutoff</t>
  </si>
  <si>
    <t>Substitution</t>
  </si>
  <si>
    <t>Co-product allocation</t>
  </si>
  <si>
    <r>
      <rPr>
        <i/>
        <u/>
        <sz val="11"/>
        <color theme="0" tint="-0.499984740745262"/>
        <rFont val="Calibri"/>
        <family val="2"/>
        <scheme val="minor"/>
      </rPr>
      <t>Checks :</t>
    </r>
    <r>
      <rPr>
        <i/>
        <sz val="11"/>
        <color theme="0" tint="-0.499984740745262"/>
        <rFont val="Calibri"/>
        <family val="2"/>
        <scheme val="minor"/>
      </rPr>
      <t xml:space="preserve">
Output flows (t)</t>
    </r>
  </si>
  <si>
    <t>(t CO2 eq./t)</t>
  </si>
  <si>
    <t>Primary aluminium</t>
  </si>
  <si>
    <t>Co-product approach</t>
  </si>
  <si>
    <t>Cut-off approach</t>
  </si>
  <si>
    <t>Substitution approach</t>
  </si>
  <si>
    <t>Approach in reference document:</t>
  </si>
  <si>
    <t>W</t>
  </si>
  <si>
    <t>SM3</t>
  </si>
  <si>
    <t>CP0</t>
  </si>
  <si>
    <t>North America</t>
  </si>
  <si>
    <t>China</t>
  </si>
  <si>
    <t>Process scrap from Semi-fab 1 to Product 2</t>
  </si>
  <si>
    <t>Gulf Cooperation Council</t>
  </si>
  <si>
    <t>Process scrap from Fab &amp; assembly 1 to Product 2</t>
  </si>
  <si>
    <t>Other Asia</t>
  </si>
  <si>
    <t>Process scrap from Semi-fab 2 to Product 3</t>
  </si>
  <si>
    <t>Japan</t>
  </si>
  <si>
    <t>Process scrap from Fab &amp; assembly 2 to Product 3</t>
  </si>
  <si>
    <t>South America</t>
  </si>
  <si>
    <t>Process scrap from Fab &amp; assembly 3 to outside</t>
  </si>
  <si>
    <t>Cradle-to-gate net aluminium output flow (t/t)</t>
  </si>
  <si>
    <t>Module D (t CO2 eq./t)</t>
  </si>
  <si>
    <t>Cradle-to-gate + module D (t CO2 eq./t)</t>
  </si>
  <si>
    <t>CF
(t CO2 eq.)</t>
  </si>
  <si>
    <t>Post-consumer scrap 2</t>
  </si>
  <si>
    <t>Post-consumer scrap 3</t>
  </si>
  <si>
    <t>Net aluminium output flow (module D calculation)</t>
  </si>
  <si>
    <t>Carbon footprint of recycled aluminium - A complex scrap flow system (Co-product)</t>
  </si>
  <si>
    <t>Co-product allocation of material impacts only (CP0)</t>
  </si>
  <si>
    <t>Unallocated emissions
(t CO2 eq.)</t>
  </si>
  <si>
    <t>Allocated flow
(t)</t>
  </si>
  <si>
    <t>Checks:</t>
  </si>
  <si>
    <t>Total pre-allocation</t>
  </si>
  <si>
    <t>Sum allocated</t>
  </si>
  <si>
    <t>Total</t>
  </si>
  <si>
    <t>Flow (t)</t>
  </si>
  <si>
    <t>Emissions
(t CO2 eq.)</t>
  </si>
  <si>
    <t>Allocated Emissions</t>
  </si>
  <si>
    <t>Primary</t>
  </si>
  <si>
    <t>Post</t>
  </si>
  <si>
    <t>Pre-consumer Semi 1</t>
  </si>
  <si>
    <t>Pre-consumer Assembly 1</t>
  </si>
  <si>
    <t>Pre-consumer Semi 2</t>
  </si>
  <si>
    <t>Pre-consumer Assembly 2</t>
  </si>
  <si>
    <t>Pre-consumer Assembly 3</t>
  </si>
  <si>
    <t>Semi Fab</t>
  </si>
  <si>
    <t>Final Product</t>
  </si>
  <si>
    <t>Ingot</t>
  </si>
  <si>
    <t>Inside Scrap Input</t>
  </si>
  <si>
    <t>Inside Scrap Output</t>
  </si>
  <si>
    <t>Melt Loss</t>
  </si>
  <si>
    <t>Cast House Scrap</t>
  </si>
  <si>
    <t>Inside Scrap Semis</t>
  </si>
  <si>
    <t>Inside Scrap Manu</t>
  </si>
  <si>
    <t>Primary Used in Region</t>
  </si>
  <si>
    <t>Remelting of post-consumer scrap</t>
  </si>
  <si>
    <t>Module D Factor</t>
  </si>
  <si>
    <t>Factor for Module D</t>
  </si>
  <si>
    <t>Aluminium leaving the system in module C, after collection and sorting (tonnes)</t>
  </si>
  <si>
    <t>Net-scrap</t>
  </si>
  <si>
    <t>Aluminium output flows (tonnes)</t>
  </si>
  <si>
    <t>Aluminium input flows (tonnes)</t>
  </si>
  <si>
    <t>Net aluminium ouput flows (tonnes)</t>
  </si>
  <si>
    <t>Impacts allocated to scrap leaving the system:</t>
  </si>
  <si>
    <t>Recycling credit if this scrap is 100% recycled at the end of life (same location as Product 3):</t>
  </si>
  <si>
    <t>Total (included scrap to outside):</t>
  </si>
  <si>
    <t>Co-Product Mass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</si>
</sst>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47A5AE"/>
      <name val="Calibri"/>
      <family val="2"/>
      <scheme val="minor"/>
    </font>
    <font>
      <b/>
      <sz val="16"/>
      <color rgb="FF47A5AE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164" fontId="0" fillId="0" borderId="1" xfId="0" applyNumberFormat="1" applyBorder="1"/>
    <xf numFmtId="2" fontId="0" fillId="0" borderId="1" xfId="0" applyNumberForma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9" fontId="0" fillId="0" borderId="0" xfId="0" applyNumberFormat="1"/>
    <xf numFmtId="1" fontId="0" fillId="0" borderId="1" xfId="0" applyNumberFormat="1" applyBorder="1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/>
    <xf numFmtId="0" fontId="3" fillId="0" borderId="0" xfId="0" applyFont="1"/>
    <xf numFmtId="0" fontId="0" fillId="0" borderId="3" xfId="0" applyBorder="1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0" fillId="0" borderId="9" xfId="0" applyBorder="1"/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3" borderId="1" xfId="0" applyFill="1" applyBorder="1"/>
    <xf numFmtId="2" fontId="0" fillId="3" borderId="1" xfId="0" applyNumberFormat="1" applyFill="1" applyBorder="1"/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9" fontId="0" fillId="2" borderId="1" xfId="1" applyFont="1" applyFill="1" applyBorder="1"/>
    <xf numFmtId="2" fontId="0" fillId="2" borderId="1" xfId="0" applyNumberFormat="1" applyFill="1" applyBorder="1"/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0" fillId="4" borderId="1" xfId="0" applyFont="1" applyFill="1" applyBorder="1"/>
    <xf numFmtId="0" fontId="1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2" fontId="0" fillId="4" borderId="0" xfId="0" applyNumberFormat="1" applyFill="1"/>
    <xf numFmtId="2" fontId="7" fillId="0" borderId="8" xfId="0" applyNumberFormat="1" applyFont="1" applyBorder="1" applyAlignment="1">
      <alignment horizontal="center"/>
    </xf>
    <xf numFmtId="2" fontId="0" fillId="4" borderId="1" xfId="0" applyNumberFormat="1" applyFill="1" applyBorder="1"/>
    <xf numFmtId="165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0" fillId="4" borderId="3" xfId="0" applyNumberFormat="1" applyFill="1" applyBorder="1"/>
    <xf numFmtId="2" fontId="1" fillId="4" borderId="1" xfId="0" applyNumberFormat="1" applyFont="1" applyFill="1" applyBorder="1"/>
    <xf numFmtId="2" fontId="7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4</xdr:row>
      <xdr:rowOff>153799</xdr:rowOff>
    </xdr:to>
    <xdr:pic>
      <xdr:nvPicPr>
        <xdr:cNvPr id="8" name="Grafik 7" descr="light logo">
          <a:extLst>
            <a:ext uri="{FF2B5EF4-FFF2-40B4-BE49-F238E27FC236}">
              <a16:creationId xmlns:a16="http://schemas.microsoft.com/office/drawing/2014/main" id="{263F0B3C-0432-4098-A936-58F8925B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735" y="18249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140940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9D74235A-8B3A-41BE-8FD0-B440DDD2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7839" cy="982315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10</xdr:row>
      <xdr:rowOff>96584</xdr:rowOff>
    </xdr:from>
    <xdr:to>
      <xdr:col>22</xdr:col>
      <xdr:colOff>488157</xdr:colOff>
      <xdr:row>31</xdr:row>
      <xdr:rowOff>112335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17E56B6-399E-0012-0C9D-3320F27B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13219" y="2073022"/>
          <a:ext cx="12061032" cy="5337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4</xdr:row>
      <xdr:rowOff>153799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C362F891-9101-4DEF-80A1-1C64D41B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635" y="18249"/>
          <a:ext cx="1199029" cy="973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140940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AF9A126-AC23-4943-B098-A9EE4449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9739" cy="9791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18</xdr:col>
      <xdr:colOff>506595</xdr:colOff>
      <xdr:row>32</xdr:row>
      <xdr:rowOff>120950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5F6C003-3A30-4D9C-8901-C3D9D655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16235" y="2136588"/>
          <a:ext cx="9433948" cy="5156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5</xdr:row>
      <xdr:rowOff>2987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78026031-1D0D-46F9-ADBD-5E0946359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635" y="18249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172690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DA21E9F-3D42-411B-9C3C-E72DA6DE1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9739" cy="982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B845-77A9-47AC-9D48-B2BC3282ADDC}">
  <dimension ref="B3:AA77"/>
  <sheetViews>
    <sheetView topLeftCell="A24" zoomScale="80" zoomScaleNormal="80" workbookViewId="0">
      <selection activeCell="F76" sqref="F76"/>
    </sheetView>
  </sheetViews>
  <sheetFormatPr baseColWidth="10" defaultColWidth="10.81640625" defaultRowHeight="14.5" x14ac:dyDescent="0.35"/>
  <cols>
    <col min="2" max="2" width="56.81640625" customWidth="1"/>
    <col min="3" max="5" width="15.7265625" customWidth="1"/>
    <col min="6" max="6" width="22.7265625" customWidth="1"/>
    <col min="9" max="9" width="23.453125" bestFit="1" customWidth="1"/>
    <col min="10" max="10" width="16" customWidth="1"/>
    <col min="13" max="13" width="12.7265625" customWidth="1"/>
    <col min="24" max="24" width="29.453125" customWidth="1"/>
  </cols>
  <sheetData>
    <row r="3" spans="2:27" ht="21" x14ac:dyDescent="0.5">
      <c r="C3" s="41" t="s">
        <v>0</v>
      </c>
      <c r="D3" s="42"/>
      <c r="E3" s="42"/>
      <c r="F3" s="42"/>
      <c r="G3" s="42"/>
      <c r="H3" s="42"/>
    </row>
    <row r="7" spans="2:27" x14ac:dyDescent="0.35">
      <c r="B7" s="34" t="s">
        <v>1</v>
      </c>
    </row>
    <row r="8" spans="2:27" x14ac:dyDescent="0.35">
      <c r="B8" s="35" t="s">
        <v>2</v>
      </c>
    </row>
    <row r="9" spans="2:27" x14ac:dyDescent="0.35">
      <c r="B9" s="35" t="s">
        <v>3</v>
      </c>
    </row>
    <row r="10" spans="2:27" x14ac:dyDescent="0.35">
      <c r="B10" s="35" t="s">
        <v>4</v>
      </c>
    </row>
    <row r="11" spans="2:27" x14ac:dyDescent="0.35">
      <c r="B11" s="35"/>
    </row>
    <row r="12" spans="2:27" x14ac:dyDescent="0.35">
      <c r="B12" s="31" t="s">
        <v>5</v>
      </c>
    </row>
    <row r="13" spans="2:27" x14ac:dyDescent="0.35">
      <c r="B13" s="36" t="s">
        <v>6</v>
      </c>
    </row>
    <row r="15" spans="2:27" ht="59.25" customHeight="1" x14ac:dyDescent="0.35">
      <c r="C15" s="2" t="s">
        <v>7</v>
      </c>
      <c r="D15" s="18" t="s">
        <v>8</v>
      </c>
      <c r="E15" s="33" t="s">
        <v>9</v>
      </c>
      <c r="G15" s="26" t="s">
        <v>10</v>
      </c>
    </row>
    <row r="16" spans="2:27" x14ac:dyDescent="0.35">
      <c r="B16" s="1" t="s">
        <v>11</v>
      </c>
      <c r="C16" s="31">
        <v>8.5500000000000007</v>
      </c>
      <c r="G16" s="27">
        <v>1.8</v>
      </c>
      <c r="Y16">
        <v>1</v>
      </c>
      <c r="Z16">
        <v>2</v>
      </c>
      <c r="AA16">
        <v>3</v>
      </c>
    </row>
    <row r="17" spans="2:27" x14ac:dyDescent="0.35">
      <c r="B17" s="1" t="s">
        <v>12</v>
      </c>
      <c r="C17" s="31">
        <v>8.5500000000000007</v>
      </c>
      <c r="G17" s="27">
        <v>0.35</v>
      </c>
      <c r="X17" t="s">
        <v>76</v>
      </c>
      <c r="Y17">
        <v>1.8</v>
      </c>
      <c r="Z17">
        <v>0.45</v>
      </c>
      <c r="AA17">
        <v>0.35</v>
      </c>
    </row>
    <row r="18" spans="2:27" x14ac:dyDescent="0.35">
      <c r="B18" s="1" t="s">
        <v>13</v>
      </c>
      <c r="C18" s="31">
        <v>8.5500000000000007</v>
      </c>
      <c r="G18" s="27">
        <v>0.25</v>
      </c>
      <c r="X18" t="s">
        <v>77</v>
      </c>
      <c r="Y18">
        <v>0</v>
      </c>
      <c r="Z18">
        <v>0.2</v>
      </c>
      <c r="AA18">
        <v>0.6</v>
      </c>
    </row>
    <row r="19" spans="2:27" x14ac:dyDescent="0.35">
      <c r="B19" s="1" t="s">
        <v>14</v>
      </c>
      <c r="C19" s="31">
        <v>0.53</v>
      </c>
      <c r="G19" s="27">
        <v>1.9</v>
      </c>
      <c r="X19" t="s">
        <v>85</v>
      </c>
      <c r="Y19">
        <v>1.8</v>
      </c>
      <c r="Z19">
        <v>1.8</v>
      </c>
      <c r="AA19">
        <v>1.8</v>
      </c>
    </row>
    <row r="20" spans="2:27" x14ac:dyDescent="0.35">
      <c r="B20" s="1" t="s">
        <v>15</v>
      </c>
      <c r="C20" s="31">
        <v>0.53</v>
      </c>
      <c r="G20" s="27">
        <v>1.9</v>
      </c>
      <c r="X20" t="s">
        <v>83</v>
      </c>
      <c r="Y20">
        <v>1.35</v>
      </c>
      <c r="Z20">
        <v>1.35</v>
      </c>
      <c r="AA20">
        <v>1.35</v>
      </c>
    </row>
    <row r="21" spans="2:27" x14ac:dyDescent="0.35">
      <c r="B21" s="1" t="s">
        <v>16</v>
      </c>
      <c r="C21" s="31">
        <v>0.62</v>
      </c>
      <c r="D21" s="31" t="s">
        <v>47</v>
      </c>
      <c r="E21" s="1">
        <f>VLOOKUP($D21,$I$39:$M$45,5,FALSE)</f>
        <v>8.0200000000000014</v>
      </c>
      <c r="G21" s="27">
        <v>1.35</v>
      </c>
      <c r="X21" t="s">
        <v>84</v>
      </c>
      <c r="Y21">
        <v>1</v>
      </c>
      <c r="Z21">
        <v>1</v>
      </c>
      <c r="AA21">
        <v>1</v>
      </c>
    </row>
    <row r="22" spans="2:27" x14ac:dyDescent="0.35">
      <c r="B22" s="1" t="s">
        <v>18</v>
      </c>
      <c r="C22" s="31">
        <v>0.62</v>
      </c>
      <c r="D22" s="31" t="s">
        <v>47</v>
      </c>
      <c r="E22" s="1">
        <f>VLOOKUP($D22,$I$39:$M$45,5,FALSE)</f>
        <v>8.0200000000000014</v>
      </c>
      <c r="G22" s="27">
        <v>1.35</v>
      </c>
      <c r="X22" t="s">
        <v>78</v>
      </c>
      <c r="Y22">
        <v>-0.45</v>
      </c>
      <c r="Z22">
        <v>0.45</v>
      </c>
    </row>
    <row r="23" spans="2:27" x14ac:dyDescent="0.35">
      <c r="B23" s="1" t="s">
        <v>19</v>
      </c>
      <c r="C23" s="31">
        <v>0.62</v>
      </c>
      <c r="G23" s="27">
        <v>1.35</v>
      </c>
      <c r="X23" t="s">
        <v>79</v>
      </c>
      <c r="Y23">
        <v>-0.35</v>
      </c>
      <c r="Z23">
        <v>0.35</v>
      </c>
    </row>
    <row r="24" spans="2:27" x14ac:dyDescent="0.35">
      <c r="B24" s="1" t="s">
        <v>20</v>
      </c>
      <c r="C24" s="44">
        <v>1</v>
      </c>
      <c r="D24" s="31" t="s">
        <v>47</v>
      </c>
      <c r="E24" s="1">
        <f>VLOOKUP($D24,$I$39:$M$45,5,FALSE)</f>
        <v>8.0200000000000014</v>
      </c>
      <c r="G24" s="27">
        <v>1</v>
      </c>
      <c r="X24" t="s">
        <v>80</v>
      </c>
      <c r="Z24">
        <v>-0.1</v>
      </c>
      <c r="AA24">
        <v>0.1</v>
      </c>
    </row>
    <row r="25" spans="2:27" x14ac:dyDescent="0.35">
      <c r="B25" s="1" t="s">
        <v>21</v>
      </c>
      <c r="C25" s="44">
        <v>1</v>
      </c>
      <c r="D25" s="31" t="s">
        <v>47</v>
      </c>
      <c r="E25" s="1">
        <f>VLOOKUP($D25,$I$39:$M$45,5,FALSE)</f>
        <v>8.0200000000000014</v>
      </c>
      <c r="G25" s="27">
        <v>1</v>
      </c>
      <c r="X25" t="s">
        <v>81</v>
      </c>
      <c r="Z25">
        <v>-0.25</v>
      </c>
      <c r="AA25">
        <v>0.25</v>
      </c>
    </row>
    <row r="26" spans="2:27" x14ac:dyDescent="0.35">
      <c r="B26" s="1" t="s">
        <v>22</v>
      </c>
      <c r="C26" s="44">
        <v>1</v>
      </c>
      <c r="D26" s="31" t="s">
        <v>47</v>
      </c>
      <c r="E26" s="1">
        <f>VLOOKUP($D26,$I$39:$M$45,5,FALSE)</f>
        <v>8.0200000000000014</v>
      </c>
      <c r="G26" s="27">
        <v>1</v>
      </c>
      <c r="X26" t="s">
        <v>82</v>
      </c>
      <c r="AA26">
        <v>-0.2</v>
      </c>
    </row>
    <row r="27" spans="2:27" x14ac:dyDescent="0.35">
      <c r="G27" s="24"/>
      <c r="X27" t="s">
        <v>86</v>
      </c>
      <c r="Y27">
        <v>0</v>
      </c>
      <c r="Z27">
        <f>0.1+0.1+0.35</f>
        <v>0.55000000000000004</v>
      </c>
      <c r="AA27">
        <f>0.1+0.45+0.15</f>
        <v>0.70000000000000007</v>
      </c>
    </row>
    <row r="28" spans="2:27" x14ac:dyDescent="0.35">
      <c r="F28" s="25" t="s">
        <v>23</v>
      </c>
      <c r="G28" s="24">
        <f>SUMPRODUCT(C16:C26,G16:G26)</f>
        <v>28.045000000000005</v>
      </c>
      <c r="X28" t="s">
        <v>87</v>
      </c>
      <c r="Y28">
        <f>-Y27</f>
        <v>0</v>
      </c>
      <c r="Z28">
        <f t="shared" ref="Z28:AA28" si="0">-Z27</f>
        <v>-0.55000000000000004</v>
      </c>
      <c r="AA28">
        <f t="shared" si="0"/>
        <v>-0.70000000000000007</v>
      </c>
    </row>
    <row r="30" spans="2:27" x14ac:dyDescent="0.35">
      <c r="B30" s="3" t="s">
        <v>24</v>
      </c>
      <c r="C30" s="11"/>
    </row>
    <row r="31" spans="2:27" ht="58" x14ac:dyDescent="0.35">
      <c r="B31" s="29" t="s">
        <v>25</v>
      </c>
      <c r="C31" s="40" t="s">
        <v>26</v>
      </c>
      <c r="D31" s="2" t="s">
        <v>27</v>
      </c>
      <c r="E31" s="2" t="s">
        <v>28</v>
      </c>
    </row>
    <row r="32" spans="2:27" x14ac:dyDescent="0.35">
      <c r="B32" s="28" t="s">
        <v>29</v>
      </c>
      <c r="C32" s="43">
        <v>0.8</v>
      </c>
      <c r="D32" s="31" t="s">
        <v>47</v>
      </c>
      <c r="E32" s="1">
        <f>VLOOKUP($D32,$I$39:$M$45,5,FALSE)</f>
        <v>8.0200000000000014</v>
      </c>
    </row>
    <row r="33" spans="2:13" x14ac:dyDescent="0.35">
      <c r="B33" s="16" t="s">
        <v>30</v>
      </c>
      <c r="C33" s="43">
        <v>0.8</v>
      </c>
      <c r="D33" s="31" t="s">
        <v>47</v>
      </c>
      <c r="E33" s="1">
        <f>VLOOKUP($D33,$I$39:$M$45,5,FALSE)</f>
        <v>8.0200000000000014</v>
      </c>
    </row>
    <row r="34" spans="2:13" x14ac:dyDescent="0.35">
      <c r="B34" s="16" t="s">
        <v>31</v>
      </c>
      <c r="C34" s="43">
        <v>0.8</v>
      </c>
      <c r="D34" s="31" t="s">
        <v>47</v>
      </c>
      <c r="E34" s="1">
        <f>VLOOKUP($D34,$I$39:$M$45,5,FALSE)</f>
        <v>8.0200000000000014</v>
      </c>
    </row>
    <row r="36" spans="2:13" x14ac:dyDescent="0.35">
      <c r="B36" s="3" t="s">
        <v>32</v>
      </c>
      <c r="I36" s="3" t="s">
        <v>33</v>
      </c>
    </row>
    <row r="37" spans="2:13" ht="43.5" x14ac:dyDescent="0.35">
      <c r="C37" s="2" t="s">
        <v>34</v>
      </c>
      <c r="D37" s="2" t="s">
        <v>35</v>
      </c>
      <c r="E37" s="2" t="s">
        <v>36</v>
      </c>
      <c r="G37" s="26" t="s">
        <v>37</v>
      </c>
      <c r="I37" s="66" t="s">
        <v>38</v>
      </c>
      <c r="J37" s="68" t="s">
        <v>39</v>
      </c>
      <c r="K37" s="39" t="s">
        <v>40</v>
      </c>
      <c r="L37" s="39" t="s">
        <v>41</v>
      </c>
      <c r="M37" s="39" t="s">
        <v>42</v>
      </c>
    </row>
    <row r="38" spans="2:13" x14ac:dyDescent="0.35">
      <c r="B38" s="30" t="s">
        <v>43</v>
      </c>
      <c r="C38" s="2" t="s">
        <v>44</v>
      </c>
      <c r="D38" s="2" t="s">
        <v>45</v>
      </c>
      <c r="E38" s="2" t="s">
        <v>46</v>
      </c>
      <c r="G38" s="26"/>
      <c r="I38" s="67"/>
      <c r="J38" s="68"/>
      <c r="K38" s="32" t="s">
        <v>46</v>
      </c>
      <c r="L38" s="32" t="s">
        <v>44</v>
      </c>
      <c r="M38" s="32" t="s">
        <v>45</v>
      </c>
    </row>
    <row r="39" spans="2:13" x14ac:dyDescent="0.35">
      <c r="B39" s="36" t="s">
        <v>29</v>
      </c>
      <c r="C39" s="37" t="e">
        <f>#REF!</f>
        <v>#REF!</v>
      </c>
      <c r="D39" s="37" t="e">
        <f>#REF!</f>
        <v>#REF!</v>
      </c>
      <c r="E39" s="37" t="e">
        <f>#REF!</f>
        <v>#REF!</v>
      </c>
      <c r="G39" s="27">
        <v>1</v>
      </c>
      <c r="I39" s="19" t="s">
        <v>47</v>
      </c>
      <c r="J39" s="20">
        <v>8.5500000000000007</v>
      </c>
      <c r="K39" s="20">
        <v>5.5</v>
      </c>
      <c r="L39" s="20">
        <v>0</v>
      </c>
      <c r="M39" s="45">
        <f>C16-C19</f>
        <v>8.0200000000000014</v>
      </c>
    </row>
    <row r="40" spans="2:13" x14ac:dyDescent="0.35">
      <c r="B40" s="36" t="s">
        <v>30</v>
      </c>
      <c r="C40" s="37" t="e">
        <f>#REF!</f>
        <v>#REF!</v>
      </c>
      <c r="D40" s="37" t="e">
        <f>#REF!</f>
        <v>#REF!</v>
      </c>
      <c r="E40" s="37" t="e">
        <f>#REF!</f>
        <v>#REF!</v>
      </c>
      <c r="G40" s="27">
        <v>1</v>
      </c>
      <c r="I40" s="19" t="s">
        <v>17</v>
      </c>
      <c r="J40" s="20">
        <v>8.6</v>
      </c>
      <c r="K40" s="20">
        <v>6.2</v>
      </c>
      <c r="L40" s="20">
        <v>0</v>
      </c>
      <c r="M40" s="20">
        <v>8.3000000000000007</v>
      </c>
    </row>
    <row r="41" spans="2:13" x14ac:dyDescent="0.35">
      <c r="B41" s="36" t="s">
        <v>31</v>
      </c>
      <c r="C41" s="37" t="e">
        <f>#REF!</f>
        <v>#REF!</v>
      </c>
      <c r="D41" s="37" t="e">
        <f>#REF!</f>
        <v>#REF!</v>
      </c>
      <c r="E41" s="37" t="e">
        <f>#REF!</f>
        <v>#REF!</v>
      </c>
      <c r="G41" s="27">
        <v>1</v>
      </c>
      <c r="I41" s="19" t="s">
        <v>48</v>
      </c>
      <c r="J41" s="20">
        <v>20</v>
      </c>
      <c r="K41" s="20">
        <v>17.8</v>
      </c>
      <c r="L41" s="20">
        <v>0</v>
      </c>
      <c r="M41" s="20">
        <v>19.7</v>
      </c>
    </row>
    <row r="42" spans="2:13" x14ac:dyDescent="0.35">
      <c r="B42" s="1" t="s">
        <v>49</v>
      </c>
      <c r="C42" s="1">
        <v>0</v>
      </c>
      <c r="D42" s="1" t="e">
        <f>#REF!</f>
        <v>#REF!</v>
      </c>
      <c r="E42" s="1" t="e">
        <f>#REF!</f>
        <v>#REF!</v>
      </c>
      <c r="G42" s="27">
        <v>0</v>
      </c>
      <c r="I42" s="19" t="s">
        <v>50</v>
      </c>
      <c r="J42" s="20">
        <v>11.4</v>
      </c>
      <c r="K42" s="20">
        <v>9.3000000000000007</v>
      </c>
      <c r="L42" s="20">
        <v>0</v>
      </c>
      <c r="M42" s="20">
        <v>11.1</v>
      </c>
    </row>
    <row r="43" spans="2:13" x14ac:dyDescent="0.35">
      <c r="B43" s="1" t="s">
        <v>51</v>
      </c>
      <c r="C43" s="1">
        <v>0</v>
      </c>
      <c r="D43" s="1" t="e">
        <f>#REF!</f>
        <v>#REF!</v>
      </c>
      <c r="E43" s="1" t="e">
        <f>#REF!</f>
        <v>#REF!</v>
      </c>
      <c r="G43" s="27">
        <v>0</v>
      </c>
      <c r="I43" s="19" t="s">
        <v>52</v>
      </c>
      <c r="J43" s="20">
        <v>18.5</v>
      </c>
      <c r="K43" s="20">
        <v>11.4</v>
      </c>
      <c r="L43" s="20">
        <v>0</v>
      </c>
      <c r="M43" s="20">
        <v>18.2</v>
      </c>
    </row>
    <row r="44" spans="2:13" x14ac:dyDescent="0.35">
      <c r="B44" s="1" t="s">
        <v>53</v>
      </c>
      <c r="C44" s="1">
        <v>0</v>
      </c>
      <c r="D44" s="1" t="e">
        <f>#REF!</f>
        <v>#REF!</v>
      </c>
      <c r="E44" s="8" t="e">
        <f>#REF!</f>
        <v>#REF!</v>
      </c>
      <c r="G44" s="27">
        <v>0</v>
      </c>
      <c r="I44" s="19" t="s">
        <v>54</v>
      </c>
      <c r="J44" s="20">
        <v>12.6</v>
      </c>
      <c r="K44" s="20">
        <v>9.5</v>
      </c>
      <c r="L44" s="20">
        <v>0</v>
      </c>
      <c r="M44" s="20">
        <v>12.3</v>
      </c>
    </row>
    <row r="45" spans="2:13" x14ac:dyDescent="0.35">
      <c r="B45" s="1" t="s">
        <v>55</v>
      </c>
      <c r="C45" s="1">
        <v>0</v>
      </c>
      <c r="D45" s="1" t="e">
        <f>#REF!</f>
        <v>#REF!</v>
      </c>
      <c r="E45" s="8" t="e">
        <f>#REF!</f>
        <v>#REF!</v>
      </c>
      <c r="G45" s="27">
        <v>0</v>
      </c>
      <c r="I45" s="19" t="s">
        <v>56</v>
      </c>
      <c r="J45" s="20">
        <v>13.9</v>
      </c>
      <c r="K45" s="20">
        <v>5.3</v>
      </c>
      <c r="L45" s="20">
        <v>0</v>
      </c>
      <c r="M45" s="20">
        <v>13.6</v>
      </c>
    </row>
    <row r="46" spans="2:13" x14ac:dyDescent="0.35">
      <c r="B46" s="1" t="s">
        <v>57</v>
      </c>
      <c r="C46" s="1">
        <v>0</v>
      </c>
      <c r="D46" s="1" t="e">
        <f>#REF!</f>
        <v>#REF!</v>
      </c>
      <c r="E46" s="8" t="e">
        <f>#REF!/#REF!</f>
        <v>#REF!</v>
      </c>
      <c r="G46" s="27">
        <v>0.2</v>
      </c>
    </row>
    <row r="48" spans="2:13" x14ac:dyDescent="0.35">
      <c r="B48" s="22" t="s">
        <v>23</v>
      </c>
      <c r="C48" s="23" t="e">
        <f>SUMPRODUCT(C$39:C$46,$G$39:$G$46)</f>
        <v>#REF!</v>
      </c>
      <c r="D48" s="23" t="e">
        <f>SUMPRODUCT(D$39:D$46,$G$39:$G$46)</f>
        <v>#REF!</v>
      </c>
      <c r="E48" s="23" t="e">
        <f>SUMPRODUCT(E$39:E$46,$G$39:$G$46)</f>
        <v>#REF!</v>
      </c>
    </row>
    <row r="49" spans="2:5" x14ac:dyDescent="0.35">
      <c r="E49" s="21"/>
    </row>
    <row r="50" spans="2:5" x14ac:dyDescent="0.35">
      <c r="B50" s="3" t="s">
        <v>58</v>
      </c>
    </row>
    <row r="51" spans="2:5" ht="29" x14ac:dyDescent="0.35">
      <c r="C51" s="2" t="s">
        <v>34</v>
      </c>
      <c r="D51" s="2" t="s">
        <v>35</v>
      </c>
      <c r="E51" s="2" t="s">
        <v>36</v>
      </c>
    </row>
    <row r="52" spans="2:5" x14ac:dyDescent="0.35">
      <c r="B52" s="1" t="s">
        <v>29</v>
      </c>
      <c r="C52" s="1" t="e">
        <f>#REF!</f>
        <v>#REF!</v>
      </c>
      <c r="D52" s="1" t="e">
        <f>#REF!</f>
        <v>#REF!</v>
      </c>
      <c r="E52" s="1" t="e">
        <f>#REF!</f>
        <v>#REF!</v>
      </c>
    </row>
    <row r="53" spans="2:5" x14ac:dyDescent="0.35">
      <c r="B53" s="1" t="s">
        <v>30</v>
      </c>
      <c r="C53" s="1" t="e">
        <f>#REF!</f>
        <v>#REF!</v>
      </c>
      <c r="D53" s="1" t="e">
        <f>#REF!</f>
        <v>#REF!</v>
      </c>
      <c r="E53" s="7" t="e">
        <f>#REF!/#REF!</f>
        <v>#REF!</v>
      </c>
    </row>
    <row r="54" spans="2:5" x14ac:dyDescent="0.35">
      <c r="B54" s="1" t="s">
        <v>31</v>
      </c>
      <c r="C54" s="1" t="e">
        <f>#REF!</f>
        <v>#REF!</v>
      </c>
      <c r="D54" s="1" t="e">
        <f>#REF!</f>
        <v>#REF!</v>
      </c>
      <c r="E54" s="7" t="e">
        <f>#REF!/#REF!</f>
        <v>#REF!</v>
      </c>
    </row>
    <row r="55" spans="2:5" x14ac:dyDescent="0.35">
      <c r="B55" s="1" t="s">
        <v>49</v>
      </c>
      <c r="C55" s="1" t="e">
        <f>NA()</f>
        <v>#N/A</v>
      </c>
      <c r="D55" s="1" t="e">
        <f>NA()</f>
        <v>#N/A</v>
      </c>
      <c r="E55" s="1" t="e">
        <f>#REF!/#REF!</f>
        <v>#REF!</v>
      </c>
    </row>
    <row r="56" spans="2:5" x14ac:dyDescent="0.35">
      <c r="B56" s="1" t="s">
        <v>51</v>
      </c>
      <c r="C56" s="1" t="e">
        <f>NA()</f>
        <v>#N/A</v>
      </c>
      <c r="D56" s="1" t="e">
        <f>NA()</f>
        <v>#N/A</v>
      </c>
      <c r="E56" s="1" t="e">
        <f>#REF!/#REF!</f>
        <v>#REF!</v>
      </c>
    </row>
    <row r="57" spans="2:5" x14ac:dyDescent="0.35">
      <c r="B57" s="1" t="s">
        <v>53</v>
      </c>
      <c r="C57" s="1" t="e">
        <f>NA()</f>
        <v>#N/A</v>
      </c>
      <c r="D57" s="1" t="e">
        <f>NA()</f>
        <v>#N/A</v>
      </c>
      <c r="E57" s="7" t="e">
        <f>#REF!/#REF!</f>
        <v>#REF!</v>
      </c>
    </row>
    <row r="58" spans="2:5" x14ac:dyDescent="0.35">
      <c r="B58" s="1" t="s">
        <v>55</v>
      </c>
      <c r="C58" s="1" t="e">
        <f>NA()</f>
        <v>#N/A</v>
      </c>
      <c r="D58" s="1" t="e">
        <f>NA()</f>
        <v>#N/A</v>
      </c>
      <c r="E58" s="7" t="e">
        <f>#REF!/#REF!</f>
        <v>#REF!</v>
      </c>
    </row>
    <row r="59" spans="2:5" x14ac:dyDescent="0.35">
      <c r="B59" s="1" t="s">
        <v>57</v>
      </c>
      <c r="C59" s="1" t="e">
        <f>NA()</f>
        <v>#N/A</v>
      </c>
      <c r="D59" s="1" t="e">
        <f>NA()</f>
        <v>#N/A</v>
      </c>
      <c r="E59" s="7" t="e">
        <f>#REF!/#REF!</f>
        <v>#REF!</v>
      </c>
    </row>
    <row r="60" spans="2:5" x14ac:dyDescent="0.35">
      <c r="C60" s="11"/>
    </row>
    <row r="61" spans="2:5" x14ac:dyDescent="0.35">
      <c r="B61" s="3" t="s">
        <v>59</v>
      </c>
    </row>
    <row r="62" spans="2:5" ht="29" x14ac:dyDescent="0.35">
      <c r="C62" s="2" t="s">
        <v>34</v>
      </c>
      <c r="D62" s="2" t="s">
        <v>35</v>
      </c>
      <c r="E62" s="2" t="s">
        <v>36</v>
      </c>
    </row>
    <row r="63" spans="2:5" x14ac:dyDescent="0.35">
      <c r="B63" s="1" t="s">
        <v>29</v>
      </c>
      <c r="C63" s="1" t="e">
        <f>(1*$C$32+C52)*-$E$32</f>
        <v>#REF!</v>
      </c>
      <c r="D63" s="1" t="e">
        <f>(1*$C$32+D52)*-$E$32</f>
        <v>#REF!</v>
      </c>
      <c r="E63" s="1" t="e">
        <f>(1*$C$32+E52)*-$E$32</f>
        <v>#REF!</v>
      </c>
    </row>
    <row r="64" spans="2:5" x14ac:dyDescent="0.35">
      <c r="B64" s="1" t="s">
        <v>30</v>
      </c>
      <c r="C64" s="8" t="e">
        <f>(1*$C$33+C53)*-$E$33</f>
        <v>#REF!</v>
      </c>
      <c r="D64" s="8" t="e">
        <f>(1*$C$33+D53)*-$E$33</f>
        <v>#REF!</v>
      </c>
      <c r="E64" s="8" t="e">
        <f>(1*$C$33+E53)*-$E$33</f>
        <v>#REF!</v>
      </c>
    </row>
    <row r="65" spans="2:6" x14ac:dyDescent="0.35">
      <c r="B65" s="1" t="s">
        <v>31</v>
      </c>
      <c r="C65" s="8" t="e">
        <f>(1*$C$34+C54)*-$E$34</f>
        <v>#REF!</v>
      </c>
      <c r="D65" s="8" t="e">
        <f>(1*$C$34+D54)*-$E$34</f>
        <v>#REF!</v>
      </c>
      <c r="E65" s="8" t="e">
        <f>(1*$C$34+E54)*-$E$34</f>
        <v>#REF!</v>
      </c>
    </row>
    <row r="68" spans="2:6" x14ac:dyDescent="0.35">
      <c r="B68" s="3" t="s">
        <v>60</v>
      </c>
    </row>
    <row r="69" spans="2:6" ht="29" x14ac:dyDescent="0.35">
      <c r="C69" s="2" t="s">
        <v>34</v>
      </c>
      <c r="D69" s="2" t="s">
        <v>35</v>
      </c>
      <c r="E69" s="2" t="s">
        <v>36</v>
      </c>
    </row>
    <row r="70" spans="2:6" x14ac:dyDescent="0.35">
      <c r="B70" s="36" t="s">
        <v>29</v>
      </c>
      <c r="C70" s="37" t="e">
        <f>C39+C63</f>
        <v>#REF!</v>
      </c>
      <c r="D70" s="37" t="e">
        <f t="shared" ref="C70:E72" si="1">D39+D63</f>
        <v>#REF!</v>
      </c>
      <c r="E70" s="37" t="e">
        <f t="shared" si="1"/>
        <v>#REF!</v>
      </c>
    </row>
    <row r="71" spans="2:6" x14ac:dyDescent="0.35">
      <c r="B71" s="36" t="s">
        <v>30</v>
      </c>
      <c r="C71" s="37" t="e">
        <f t="shared" si="1"/>
        <v>#REF!</v>
      </c>
      <c r="D71" s="37" t="e">
        <f t="shared" si="1"/>
        <v>#REF!</v>
      </c>
      <c r="E71" s="37" t="e">
        <f t="shared" si="1"/>
        <v>#REF!</v>
      </c>
    </row>
    <row r="72" spans="2:6" x14ac:dyDescent="0.35">
      <c r="B72" s="36" t="s">
        <v>31</v>
      </c>
      <c r="C72" s="37" t="e">
        <f t="shared" si="1"/>
        <v>#REF!</v>
      </c>
      <c r="D72" s="37" t="e">
        <f t="shared" si="1"/>
        <v>#REF!</v>
      </c>
      <c r="E72" s="37" t="e">
        <f t="shared" si="1"/>
        <v>#REF!</v>
      </c>
    </row>
    <row r="77" spans="2:6" x14ac:dyDescent="0.35">
      <c r="C77" s="21"/>
      <c r="E77" s="21"/>
      <c r="F77" s="21"/>
    </row>
  </sheetData>
  <mergeCells count="2">
    <mergeCell ref="I37:I38"/>
    <mergeCell ref="J37:J38"/>
  </mergeCells>
  <phoneticPr fontId="16" type="noConversion"/>
  <dataValidations count="1">
    <dataValidation type="list" allowBlank="1" showInputMessage="1" showErrorMessage="1" sqref="D32:D34 D60:D61 D21:D27" xr:uid="{43E26860-A813-4155-BD3D-2521F450D279}">
      <formula1>$I$39:$I$45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01EE-6E3E-4538-96B5-B7D2BEF17458}">
  <dimension ref="B3:AA88"/>
  <sheetViews>
    <sheetView tabSelected="1" zoomScale="85" zoomScaleNormal="85" workbookViewId="0">
      <selection activeCell="V23" sqref="V23"/>
    </sheetView>
  </sheetViews>
  <sheetFormatPr baseColWidth="10" defaultColWidth="10.81640625" defaultRowHeight="14.5" x14ac:dyDescent="0.35"/>
  <cols>
    <col min="2" max="2" width="56.81640625" customWidth="1"/>
    <col min="3" max="5" width="15.7265625" customWidth="1"/>
    <col min="6" max="6" width="22.7265625" customWidth="1"/>
    <col min="9" max="9" width="23.453125" bestFit="1" customWidth="1"/>
    <col min="10" max="10" width="16" customWidth="1"/>
    <col min="13" max="13" width="12.7265625" customWidth="1"/>
    <col min="24" max="24" width="29.453125" customWidth="1"/>
  </cols>
  <sheetData>
    <row r="3" spans="2:27" ht="21" x14ac:dyDescent="0.5">
      <c r="C3" s="41" t="s">
        <v>0</v>
      </c>
      <c r="D3" s="42"/>
      <c r="E3" s="42"/>
      <c r="F3" s="42"/>
      <c r="G3" s="42"/>
      <c r="H3" s="42"/>
    </row>
    <row r="4" spans="2:27" x14ac:dyDescent="0.35">
      <c r="C4" t="s">
        <v>104</v>
      </c>
    </row>
    <row r="7" spans="2:27" x14ac:dyDescent="0.35">
      <c r="B7" s="34" t="s">
        <v>1</v>
      </c>
    </row>
    <row r="8" spans="2:27" x14ac:dyDescent="0.35">
      <c r="B8" s="35" t="s">
        <v>2</v>
      </c>
    </row>
    <row r="9" spans="2:27" x14ac:dyDescent="0.35">
      <c r="B9" s="35" t="s">
        <v>3</v>
      </c>
    </row>
    <row r="10" spans="2:27" x14ac:dyDescent="0.35">
      <c r="B10" s="35" t="s">
        <v>4</v>
      </c>
    </row>
    <row r="11" spans="2:27" x14ac:dyDescent="0.35">
      <c r="B11" s="35"/>
    </row>
    <row r="12" spans="2:27" x14ac:dyDescent="0.35">
      <c r="B12" s="31" t="s">
        <v>5</v>
      </c>
    </row>
    <row r="13" spans="2:27" x14ac:dyDescent="0.35">
      <c r="B13" s="36" t="s">
        <v>6</v>
      </c>
    </row>
    <row r="15" spans="2:27" ht="59.25" customHeight="1" x14ac:dyDescent="0.35">
      <c r="C15" s="2" t="s">
        <v>7</v>
      </c>
      <c r="D15" s="18"/>
      <c r="E15" s="33"/>
      <c r="G15" s="26" t="s">
        <v>10</v>
      </c>
    </row>
    <row r="16" spans="2:27" x14ac:dyDescent="0.35">
      <c r="B16" s="1" t="s">
        <v>11</v>
      </c>
      <c r="C16" s="54">
        <v>9</v>
      </c>
      <c r="G16" s="27">
        <v>1.8</v>
      </c>
      <c r="Y16">
        <v>1</v>
      </c>
      <c r="Z16">
        <v>2</v>
      </c>
      <c r="AA16">
        <v>3</v>
      </c>
    </row>
    <row r="17" spans="2:27" x14ac:dyDescent="0.35">
      <c r="B17" s="1" t="s">
        <v>12</v>
      </c>
      <c r="C17" s="54">
        <v>10</v>
      </c>
      <c r="G17" s="27">
        <v>0.45</v>
      </c>
      <c r="X17" t="s">
        <v>76</v>
      </c>
      <c r="Y17">
        <v>1.8</v>
      </c>
      <c r="Z17">
        <v>0.45</v>
      </c>
      <c r="AA17">
        <v>0.35</v>
      </c>
    </row>
    <row r="18" spans="2:27" x14ac:dyDescent="0.35">
      <c r="B18" s="1" t="s">
        <v>13</v>
      </c>
      <c r="C18" s="54">
        <v>4</v>
      </c>
      <c r="G18" s="27">
        <v>0.35</v>
      </c>
      <c r="X18" t="s">
        <v>77</v>
      </c>
      <c r="Y18">
        <v>0</v>
      </c>
      <c r="Z18">
        <v>0.2</v>
      </c>
      <c r="AA18">
        <v>0.6</v>
      </c>
    </row>
    <row r="19" spans="2:27" x14ac:dyDescent="0.35">
      <c r="B19" s="1" t="s">
        <v>14</v>
      </c>
      <c r="C19" s="31">
        <v>0.3</v>
      </c>
      <c r="G19" s="27">
        <v>1.8</v>
      </c>
      <c r="X19" t="s">
        <v>85</v>
      </c>
      <c r="Y19" s="49">
        <f>Y17+Y18+Y27</f>
        <v>1.8</v>
      </c>
      <c r="Z19" s="50">
        <f>Z17+Z18+Z27+Z22+Z23-Z29-Z34</f>
        <v>1.7999999999999998</v>
      </c>
      <c r="AA19" s="50">
        <f>AA17+AA18+AA27+AA24+AA25-AA29-AA34</f>
        <v>1.7999999999999998</v>
      </c>
    </row>
    <row r="20" spans="2:27" x14ac:dyDescent="0.35">
      <c r="B20" s="1" t="s">
        <v>15</v>
      </c>
      <c r="C20" s="31">
        <v>0.3</v>
      </c>
      <c r="G20" s="27">
        <v>1.8</v>
      </c>
      <c r="X20" t="s">
        <v>83</v>
      </c>
      <c r="Y20" s="49">
        <f>Y19+Y22</f>
        <v>1.35</v>
      </c>
      <c r="Z20" s="51">
        <f>Z19+Z24-Z32</f>
        <v>1.3499999999999996</v>
      </c>
      <c r="AA20" s="51">
        <f>AA19-AA32</f>
        <v>1.3499999999999999</v>
      </c>
    </row>
    <row r="21" spans="2:27" x14ac:dyDescent="0.35">
      <c r="B21" s="1" t="s">
        <v>16</v>
      </c>
      <c r="C21" s="31">
        <v>0.6</v>
      </c>
      <c r="E21" s="64"/>
      <c r="G21" s="27">
        <v>1.35</v>
      </c>
      <c r="X21" t="s">
        <v>84</v>
      </c>
      <c r="Y21" s="51">
        <f>Y20+Y23</f>
        <v>1</v>
      </c>
      <c r="Z21" s="51">
        <f>Z20+Z25-Z33</f>
        <v>0.99999999999999967</v>
      </c>
      <c r="AA21" s="51">
        <f>AA20+AA26-AA33</f>
        <v>0.99999999999999989</v>
      </c>
    </row>
    <row r="22" spans="2:27" x14ac:dyDescent="0.35">
      <c r="B22" s="1" t="s">
        <v>18</v>
      </c>
      <c r="C22" s="31">
        <v>0.6</v>
      </c>
      <c r="E22" s="64"/>
      <c r="G22" s="27">
        <v>1.35</v>
      </c>
      <c r="X22" t="s">
        <v>78</v>
      </c>
      <c r="Y22">
        <v>-0.45</v>
      </c>
      <c r="Z22">
        <v>0.45</v>
      </c>
    </row>
    <row r="23" spans="2:27" x14ac:dyDescent="0.35">
      <c r="B23" s="1" t="s">
        <v>19</v>
      </c>
      <c r="C23" s="31">
        <v>0.6</v>
      </c>
      <c r="G23" s="27">
        <v>1.35</v>
      </c>
      <c r="X23" t="s">
        <v>79</v>
      </c>
      <c r="Y23">
        <v>-0.35</v>
      </c>
      <c r="Z23">
        <v>0.35</v>
      </c>
    </row>
    <row r="24" spans="2:27" x14ac:dyDescent="0.35">
      <c r="B24" s="1" t="s">
        <v>20</v>
      </c>
      <c r="C24" s="44">
        <v>1</v>
      </c>
      <c r="E24" s="64"/>
      <c r="G24" s="27">
        <v>1</v>
      </c>
      <c r="X24" t="s">
        <v>80</v>
      </c>
      <c r="Z24">
        <v>-0.1</v>
      </c>
      <c r="AA24">
        <v>0.1</v>
      </c>
    </row>
    <row r="25" spans="2:27" x14ac:dyDescent="0.35">
      <c r="B25" s="1" t="s">
        <v>21</v>
      </c>
      <c r="C25" s="44">
        <v>1</v>
      </c>
      <c r="E25" s="64"/>
      <c r="G25" s="27">
        <v>1</v>
      </c>
      <c r="X25" t="s">
        <v>81</v>
      </c>
      <c r="Z25">
        <v>-0.25</v>
      </c>
      <c r="AA25">
        <v>0.25</v>
      </c>
    </row>
    <row r="26" spans="2:27" x14ac:dyDescent="0.35">
      <c r="B26" s="1" t="s">
        <v>22</v>
      </c>
      <c r="C26" s="44">
        <v>1</v>
      </c>
      <c r="E26" s="64"/>
      <c r="G26" s="27">
        <v>1</v>
      </c>
      <c r="X26" t="s">
        <v>82</v>
      </c>
      <c r="AA26">
        <v>-0.2</v>
      </c>
    </row>
    <row r="27" spans="2:27" x14ac:dyDescent="0.35">
      <c r="G27" s="24"/>
      <c r="X27" t="s">
        <v>86</v>
      </c>
      <c r="Y27" s="49">
        <f>Y34+Y32+Y33</f>
        <v>0</v>
      </c>
      <c r="Z27" s="49">
        <f>Z34+Z32+Z33</f>
        <v>0.54999999999999993</v>
      </c>
      <c r="AA27" s="49">
        <f>AA34+AA32+AA33</f>
        <v>0.70000000000000007</v>
      </c>
    </row>
    <row r="28" spans="2:27" x14ac:dyDescent="0.35">
      <c r="F28" s="25" t="s">
        <v>23</v>
      </c>
      <c r="G28" s="24">
        <f>SUMPRODUCT(C16:C26,G16:G26)</f>
        <v>28.609999999999992</v>
      </c>
      <c r="X28" t="s">
        <v>87</v>
      </c>
      <c r="Y28" s="49">
        <f t="shared" ref="Y28" si="0">-Y27</f>
        <v>0</v>
      </c>
      <c r="Z28" s="49">
        <f t="shared" ref="Z28:AA28" si="1">-Z27</f>
        <v>-0.54999999999999993</v>
      </c>
      <c r="AA28" s="49">
        <f t="shared" si="1"/>
        <v>-0.70000000000000007</v>
      </c>
    </row>
    <row r="29" spans="2:27" x14ac:dyDescent="0.35">
      <c r="X29" t="s">
        <v>88</v>
      </c>
      <c r="Y29">
        <v>0</v>
      </c>
      <c r="Z29">
        <v>0.1</v>
      </c>
      <c r="AA29">
        <v>0.1</v>
      </c>
    </row>
    <row r="30" spans="2:27" x14ac:dyDescent="0.35">
      <c r="B30" s="3" t="s">
        <v>24</v>
      </c>
      <c r="C30" s="11"/>
    </row>
    <row r="31" spans="2:27" ht="58" x14ac:dyDescent="0.35">
      <c r="B31" s="29" t="s">
        <v>25</v>
      </c>
      <c r="C31" s="40" t="s">
        <v>26</v>
      </c>
      <c r="D31" s="2" t="s">
        <v>27</v>
      </c>
      <c r="E31" s="2" t="s">
        <v>28</v>
      </c>
    </row>
    <row r="32" spans="2:27" x14ac:dyDescent="0.35">
      <c r="B32" s="28" t="s">
        <v>29</v>
      </c>
      <c r="C32" s="43">
        <v>0.8</v>
      </c>
      <c r="D32" s="31" t="s">
        <v>47</v>
      </c>
      <c r="E32" s="65">
        <f>VLOOKUP($D32,$I$38:$L$41,4,FALSE)</f>
        <v>8.1</v>
      </c>
      <c r="X32" t="s">
        <v>90</v>
      </c>
      <c r="Y32">
        <v>0</v>
      </c>
      <c r="Z32">
        <v>0.35</v>
      </c>
      <c r="AA32">
        <v>0.45</v>
      </c>
    </row>
    <row r="33" spans="2:27" x14ac:dyDescent="0.35">
      <c r="B33" s="16" t="s">
        <v>30</v>
      </c>
      <c r="C33" s="43">
        <v>0.8</v>
      </c>
      <c r="D33" s="1" t="str">
        <f>D32</f>
        <v>North America</v>
      </c>
      <c r="E33" s="65">
        <f t="shared" ref="E33:E34" si="2">VLOOKUP($D33,$I$38:$L$41,4,FALSE)</f>
        <v>8.1</v>
      </c>
      <c r="X33" t="s">
        <v>91</v>
      </c>
      <c r="Y33">
        <v>0</v>
      </c>
      <c r="Z33">
        <v>0.1</v>
      </c>
      <c r="AA33">
        <v>0.15</v>
      </c>
    </row>
    <row r="34" spans="2:27" x14ac:dyDescent="0.35">
      <c r="B34" s="16" t="s">
        <v>31</v>
      </c>
      <c r="C34" s="43">
        <v>0.8</v>
      </c>
      <c r="D34" s="1" t="str">
        <f>D33</f>
        <v>North America</v>
      </c>
      <c r="E34" s="65">
        <f t="shared" si="2"/>
        <v>8.1</v>
      </c>
      <c r="X34" t="s">
        <v>89</v>
      </c>
      <c r="Y34">
        <v>0</v>
      </c>
      <c r="Z34">
        <v>0.1</v>
      </c>
      <c r="AA34">
        <v>0.1</v>
      </c>
    </row>
    <row r="36" spans="2:27" x14ac:dyDescent="0.35">
      <c r="B36" s="3" t="s">
        <v>32</v>
      </c>
      <c r="I36" s="3" t="s">
        <v>95</v>
      </c>
    </row>
    <row r="37" spans="2:27" ht="58" x14ac:dyDescent="0.35">
      <c r="C37" s="2" t="s">
        <v>36</v>
      </c>
      <c r="E37" s="26" t="s">
        <v>37</v>
      </c>
      <c r="I37" s="39" t="s">
        <v>38</v>
      </c>
      <c r="J37" s="39" t="s">
        <v>92</v>
      </c>
      <c r="K37" s="39" t="s">
        <v>93</v>
      </c>
      <c r="L37" s="39" t="s">
        <v>94</v>
      </c>
      <c r="M37" s="57"/>
    </row>
    <row r="38" spans="2:27" x14ac:dyDescent="0.35">
      <c r="B38" s="30" t="s">
        <v>43</v>
      </c>
      <c r="C38" s="2" t="s">
        <v>46</v>
      </c>
      <c r="E38" s="26"/>
      <c r="I38" s="19" t="s">
        <v>47</v>
      </c>
      <c r="J38" s="55">
        <v>8.5</v>
      </c>
      <c r="K38" s="55">
        <v>0.4</v>
      </c>
      <c r="L38" s="56">
        <f>J38-K38</f>
        <v>8.1</v>
      </c>
      <c r="M38" s="58"/>
    </row>
    <row r="39" spans="2:27" x14ac:dyDescent="0.35">
      <c r="B39" s="36" t="s">
        <v>29</v>
      </c>
      <c r="C39" s="37">
        <f>'Co-product-Final'!G14</f>
        <v>10.810000000000002</v>
      </c>
      <c r="E39" s="52">
        <f>Y21</f>
        <v>1</v>
      </c>
      <c r="I39" s="19" t="s">
        <v>17</v>
      </c>
      <c r="J39" s="55">
        <v>9.6999999999999993</v>
      </c>
      <c r="K39" s="55">
        <v>0.4</v>
      </c>
      <c r="L39" s="56">
        <f t="shared" ref="L39:L41" si="3">J39-K39</f>
        <v>9.2999999999999989</v>
      </c>
      <c r="M39" s="59"/>
    </row>
    <row r="40" spans="2:27" x14ac:dyDescent="0.35">
      <c r="B40" s="36" t="s">
        <v>30</v>
      </c>
      <c r="C40" s="37">
        <f>'Co-product-Final'!G27</f>
        <v>10.876666666666669</v>
      </c>
      <c r="E40" s="52">
        <f>Z21</f>
        <v>0.99999999999999967</v>
      </c>
      <c r="I40" s="19" t="s">
        <v>48</v>
      </c>
      <c r="J40" s="55">
        <v>19.5</v>
      </c>
      <c r="K40" s="55">
        <v>0.4</v>
      </c>
      <c r="L40" s="56">
        <f t="shared" si="3"/>
        <v>19.100000000000001</v>
      </c>
      <c r="M40" s="59"/>
    </row>
    <row r="41" spans="2:27" x14ac:dyDescent="0.35">
      <c r="B41" s="36" t="s">
        <v>31</v>
      </c>
      <c r="C41" s="37">
        <f>'Co-product-Final'!G40</f>
        <v>6.0711111111111116</v>
      </c>
      <c r="E41" s="52">
        <f>AA21</f>
        <v>0.99999999999999989</v>
      </c>
      <c r="I41" s="19" t="s">
        <v>50</v>
      </c>
      <c r="J41" s="55">
        <v>11.4</v>
      </c>
      <c r="K41" s="55">
        <v>0.4</v>
      </c>
      <c r="L41" s="56">
        <f t="shared" si="3"/>
        <v>11</v>
      </c>
      <c r="M41" s="59"/>
    </row>
    <row r="42" spans="2:27" x14ac:dyDescent="0.35">
      <c r="B42" s="1" t="s">
        <v>49</v>
      </c>
      <c r="C42" s="8">
        <f>'Co-product-Final'!C20</f>
        <v>9.0000000000000018</v>
      </c>
      <c r="E42" s="27">
        <v>0</v>
      </c>
      <c r="I42" s="60"/>
      <c r="J42" s="59"/>
      <c r="K42" s="59"/>
      <c r="M42" s="59"/>
    </row>
    <row r="43" spans="2:27" x14ac:dyDescent="0.35">
      <c r="B43" s="1" t="s">
        <v>51</v>
      </c>
      <c r="C43" s="8">
        <f>'Co-product-Final'!C21</f>
        <v>9.0000000000000018</v>
      </c>
      <c r="E43" s="27">
        <v>0</v>
      </c>
      <c r="I43" s="60"/>
      <c r="J43" s="59"/>
      <c r="K43" s="59"/>
      <c r="M43" s="59"/>
    </row>
    <row r="44" spans="2:27" x14ac:dyDescent="0.35">
      <c r="B44" s="1" t="s">
        <v>53</v>
      </c>
      <c r="C44" s="8">
        <f>'Co-product-Final'!C33</f>
        <v>9.06666666666667</v>
      </c>
      <c r="E44" s="27">
        <v>0</v>
      </c>
      <c r="I44" s="60"/>
      <c r="J44" s="59"/>
      <c r="K44" s="59"/>
      <c r="M44" s="59"/>
    </row>
    <row r="45" spans="2:27" x14ac:dyDescent="0.35">
      <c r="B45" s="1" t="s">
        <v>55</v>
      </c>
      <c r="C45" s="8">
        <f>'Co-product-Final'!C34</f>
        <v>9.06666666666667</v>
      </c>
      <c r="E45" s="27">
        <v>0</v>
      </c>
      <c r="I45" s="60"/>
      <c r="J45" s="59"/>
      <c r="K45" s="59"/>
      <c r="M45" s="59"/>
    </row>
    <row r="46" spans="2:27" x14ac:dyDescent="0.35">
      <c r="B46" s="1" t="s">
        <v>57</v>
      </c>
      <c r="C46" s="8">
        <f>IFERROR('Co-product-Final'!I40/'Co-product-Final'!H40,0)</f>
        <v>4.261111111111112</v>
      </c>
      <c r="E46" s="27">
        <f>-AA26</f>
        <v>0.2</v>
      </c>
    </row>
    <row r="48" spans="2:27" x14ac:dyDescent="0.35">
      <c r="B48" s="22" t="s">
        <v>23</v>
      </c>
      <c r="C48" s="63">
        <f>SUMPRODUCT(C$39:C$46,$E$39:$E$46)</f>
        <v>28.610000000000003</v>
      </c>
    </row>
    <row r="50" spans="2:4" x14ac:dyDescent="0.35">
      <c r="C50" s="21"/>
    </row>
    <row r="51" spans="2:4" x14ac:dyDescent="0.35">
      <c r="B51" s="3" t="s">
        <v>96</v>
      </c>
    </row>
    <row r="52" spans="2:4" x14ac:dyDescent="0.35">
      <c r="C52" s="2" t="s">
        <v>97</v>
      </c>
    </row>
    <row r="53" spans="2:4" x14ac:dyDescent="0.35">
      <c r="B53" s="1" t="s">
        <v>29</v>
      </c>
      <c r="C53" s="8">
        <f>$E39*$C32</f>
        <v>0.8</v>
      </c>
      <c r="D53" s="21"/>
    </row>
    <row r="54" spans="2:4" x14ac:dyDescent="0.35">
      <c r="B54" s="1" t="s">
        <v>30</v>
      </c>
      <c r="C54" s="8">
        <f>$E40*$C33</f>
        <v>0.79999999999999982</v>
      </c>
    </row>
    <row r="55" spans="2:4" x14ac:dyDescent="0.35">
      <c r="B55" s="1" t="s">
        <v>31</v>
      </c>
      <c r="C55" s="8">
        <f>$E41*$C34</f>
        <v>0.79999999999999993</v>
      </c>
    </row>
    <row r="56" spans="2:4" x14ac:dyDescent="0.35">
      <c r="C56" s="21"/>
    </row>
    <row r="58" spans="2:4" x14ac:dyDescent="0.35">
      <c r="B58" s="3" t="s">
        <v>98</v>
      </c>
    </row>
    <row r="59" spans="2:4" x14ac:dyDescent="0.35">
      <c r="C59" s="2" t="s">
        <v>97</v>
      </c>
    </row>
    <row r="60" spans="2:4" x14ac:dyDescent="0.35">
      <c r="B60" s="1" t="s">
        <v>29</v>
      </c>
      <c r="C60" s="8">
        <v>0</v>
      </c>
    </row>
    <row r="61" spans="2:4" x14ac:dyDescent="0.35">
      <c r="B61" s="1" t="s">
        <v>30</v>
      </c>
      <c r="C61" s="8">
        <f>-('Co-product-Final'!H29+'Co-product-Final'!J29)</f>
        <v>5.1851851851851871E-2</v>
      </c>
    </row>
    <row r="62" spans="2:4" ht="15.75" customHeight="1" x14ac:dyDescent="0.35">
      <c r="B62" s="1" t="s">
        <v>31</v>
      </c>
      <c r="C62" s="8">
        <f>(-'Co-product-Final'!H42)</f>
        <v>0.10864197530864199</v>
      </c>
    </row>
    <row r="63" spans="2:4" x14ac:dyDescent="0.35">
      <c r="C63" s="21"/>
    </row>
    <row r="65" spans="2:3" x14ac:dyDescent="0.35">
      <c r="B65" s="3" t="s">
        <v>99</v>
      </c>
    </row>
    <row r="66" spans="2:3" x14ac:dyDescent="0.35">
      <c r="C66" s="2" t="s">
        <v>97</v>
      </c>
    </row>
    <row r="67" spans="2:3" x14ac:dyDescent="0.35">
      <c r="B67" s="1" t="s">
        <v>29</v>
      </c>
      <c r="C67" s="8">
        <v>0</v>
      </c>
    </row>
    <row r="68" spans="2:3" x14ac:dyDescent="0.35">
      <c r="B68" s="1" t="s">
        <v>30</v>
      </c>
      <c r="C68" s="8">
        <f>'Co-product-Final'!D23</f>
        <v>0.2</v>
      </c>
    </row>
    <row r="69" spans="2:3" x14ac:dyDescent="0.35">
      <c r="B69" s="1" t="s">
        <v>31</v>
      </c>
      <c r="C69" s="8">
        <f>-'Co-product-Final'!D42</f>
        <v>0.6518518518518519</v>
      </c>
    </row>
    <row r="70" spans="2:3" x14ac:dyDescent="0.35">
      <c r="C70" s="21"/>
    </row>
    <row r="72" spans="2:3" x14ac:dyDescent="0.35">
      <c r="B72" s="3" t="s">
        <v>100</v>
      </c>
    </row>
    <row r="73" spans="2:3" x14ac:dyDescent="0.35">
      <c r="C73" s="2" t="s">
        <v>97</v>
      </c>
    </row>
    <row r="74" spans="2:3" x14ac:dyDescent="0.35">
      <c r="B74" s="1" t="s">
        <v>29</v>
      </c>
      <c r="C74" s="8">
        <f t="shared" ref="C74" si="4">C53+C60-C67</f>
        <v>0.8</v>
      </c>
    </row>
    <row r="75" spans="2:3" x14ac:dyDescent="0.35">
      <c r="B75" s="1" t="s">
        <v>30</v>
      </c>
      <c r="C75" s="8">
        <f t="shared" ref="C75" si="5">C54+C61-C68</f>
        <v>0.65185185185185168</v>
      </c>
    </row>
    <row r="76" spans="2:3" x14ac:dyDescent="0.35">
      <c r="B76" s="1" t="s">
        <v>31</v>
      </c>
      <c r="C76" s="8">
        <f t="shared" ref="C76" si="6">C55+C62-C69</f>
        <v>0.25679012345678998</v>
      </c>
    </row>
    <row r="77" spans="2:3" x14ac:dyDescent="0.35">
      <c r="C77" s="21"/>
    </row>
    <row r="79" spans="2:3" x14ac:dyDescent="0.35">
      <c r="B79" s="3" t="s">
        <v>60</v>
      </c>
    </row>
    <row r="80" spans="2:3" ht="29" x14ac:dyDescent="0.35">
      <c r="C80" s="2" t="s">
        <v>36</v>
      </c>
    </row>
    <row r="81" spans="2:4" x14ac:dyDescent="0.35">
      <c r="B81" s="36" t="s">
        <v>29</v>
      </c>
      <c r="C81" s="37">
        <f>C39-C74*E32</f>
        <v>4.3300000000000018</v>
      </c>
    </row>
    <row r="82" spans="2:4" x14ac:dyDescent="0.35">
      <c r="B82" s="36" t="s">
        <v>30</v>
      </c>
      <c r="C82" s="37">
        <f>C40-C75*E33</f>
        <v>5.5966666666666702</v>
      </c>
    </row>
    <row r="83" spans="2:4" x14ac:dyDescent="0.35">
      <c r="B83" s="36" t="s">
        <v>31</v>
      </c>
      <c r="C83" s="37">
        <f>C41-C76*E34</f>
        <v>3.9911111111111128</v>
      </c>
    </row>
    <row r="84" spans="2:4" x14ac:dyDescent="0.35">
      <c r="C84" s="21">
        <f>SUM(C81:C83)</f>
        <v>13.917777777777786</v>
      </c>
      <c r="D84" s="21"/>
    </row>
    <row r="86" spans="2:4" x14ac:dyDescent="0.35">
      <c r="B86" s="6" t="s">
        <v>101</v>
      </c>
      <c r="C86" s="21">
        <f>'Co-product-Final'!I40</f>
        <v>0.85222222222222244</v>
      </c>
    </row>
    <row r="87" spans="2:4" x14ac:dyDescent="0.35">
      <c r="B87" s="6" t="s">
        <v>102</v>
      </c>
      <c r="C87" s="21">
        <f>-(-'Synthesis-Final'!AA26+'Co-product-Final'!H42)*E34</f>
        <v>-0.74</v>
      </c>
    </row>
    <row r="88" spans="2:4" x14ac:dyDescent="0.35">
      <c r="B88" s="6" t="s">
        <v>103</v>
      </c>
      <c r="C88" s="21">
        <f>C84+C86+C87</f>
        <v>14.030000000000008</v>
      </c>
    </row>
  </sheetData>
  <dataValidations count="2">
    <dataValidation type="list" allowBlank="1" showInputMessage="1" showErrorMessage="1" sqref="D21:D27" xr:uid="{DBAB7809-FCBA-44FF-A314-CC90C7FE3203}">
      <formula1>$I$40:$I$46</formula1>
    </dataValidation>
    <dataValidation type="list" allowBlank="1" showInputMessage="1" showErrorMessage="1" sqref="D32" xr:uid="{94DCB30A-4385-468F-B924-734BEA5CA32D}">
      <formula1>$I$38:$I$44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9F92-AFE0-4291-8182-298B3F500C7B}">
  <dimension ref="B3:N45"/>
  <sheetViews>
    <sheetView zoomScale="90" zoomScaleNormal="90" workbookViewId="0">
      <selection activeCell="I40" sqref="I40"/>
    </sheetView>
  </sheetViews>
  <sheetFormatPr baseColWidth="10" defaultColWidth="10.81640625" defaultRowHeight="14.5" x14ac:dyDescent="0.35"/>
  <cols>
    <col min="2" max="2" width="46.453125" customWidth="1"/>
    <col min="13" max="13" width="22" customWidth="1"/>
  </cols>
  <sheetData>
    <row r="3" spans="2:14" ht="18.5" x14ac:dyDescent="0.35">
      <c r="C3" s="38" t="s">
        <v>65</v>
      </c>
    </row>
    <row r="7" spans="2:14" x14ac:dyDescent="0.35">
      <c r="B7" s="3" t="s">
        <v>66</v>
      </c>
    </row>
    <row r="9" spans="2:14" ht="30.75" customHeight="1" x14ac:dyDescent="0.35">
      <c r="B9" s="3"/>
      <c r="F9" s="69" t="s">
        <v>29</v>
      </c>
      <c r="G9" s="70"/>
      <c r="H9" s="71" t="s">
        <v>49</v>
      </c>
      <c r="I9" s="72"/>
      <c r="J9" s="71" t="s">
        <v>51</v>
      </c>
      <c r="K9" s="72"/>
    </row>
    <row r="10" spans="2:14" ht="43.5" x14ac:dyDescent="0.35">
      <c r="C10" s="2" t="s">
        <v>7</v>
      </c>
      <c r="D10" s="2" t="s">
        <v>73</v>
      </c>
      <c r="E10" s="2" t="s">
        <v>74</v>
      </c>
      <c r="F10" s="2" t="s">
        <v>68</v>
      </c>
      <c r="G10" s="2" t="s">
        <v>61</v>
      </c>
      <c r="H10" s="2" t="s">
        <v>68</v>
      </c>
      <c r="I10" s="2" t="s">
        <v>61</v>
      </c>
      <c r="J10" s="2" t="s">
        <v>68</v>
      </c>
      <c r="K10" s="2" t="s">
        <v>61</v>
      </c>
      <c r="M10" s="15" t="s">
        <v>69</v>
      </c>
      <c r="N10" s="5"/>
    </row>
    <row r="11" spans="2:14" x14ac:dyDescent="0.35">
      <c r="B11" s="1" t="s">
        <v>11</v>
      </c>
      <c r="C11" s="8">
        <f>'Synthesis-Final'!C16</f>
        <v>9</v>
      </c>
      <c r="D11" s="46">
        <f>'Synthesis-Final'!Y17</f>
        <v>1.8</v>
      </c>
      <c r="E11" s="1">
        <f>$C11*D11</f>
        <v>16.2</v>
      </c>
      <c r="F11" s="8">
        <f>$D11*F$14/($F$14+$H$14+$J$14)</f>
        <v>1.0000000000000002</v>
      </c>
      <c r="G11" s="1">
        <f>$C11*F11</f>
        <v>9.0000000000000018</v>
      </c>
      <c r="H11" s="1">
        <f>$D11*$H$14/($F$14+$H$14+$J$14)</f>
        <v>0.45000000000000007</v>
      </c>
      <c r="I11" s="1">
        <f>$C11*H11</f>
        <v>4.0500000000000007</v>
      </c>
      <c r="J11" s="1">
        <f>$D11*$J14/($F$14+$H$14+$J$14)</f>
        <v>0.35000000000000003</v>
      </c>
      <c r="K11" s="1">
        <f>$C11*J11</f>
        <v>3.1500000000000004</v>
      </c>
      <c r="M11" s="13" t="s">
        <v>70</v>
      </c>
      <c r="N11" s="5">
        <f>SUMPRODUCT(C11:C13,D11:D13)</f>
        <v>18.009999999999998</v>
      </c>
    </row>
    <row r="12" spans="2:14" x14ac:dyDescent="0.35">
      <c r="B12" s="1" t="s">
        <v>16</v>
      </c>
      <c r="C12" s="8">
        <f>'Synthesis-Final'!$C$21</f>
        <v>0.6</v>
      </c>
      <c r="D12" s="46">
        <f>'Synthesis-Final'!Y20</f>
        <v>1.35</v>
      </c>
      <c r="E12" s="1">
        <f t="shared" ref="E12:E13" si="0">$C12*D12</f>
        <v>0.81</v>
      </c>
      <c r="F12" s="8">
        <v>1.35</v>
      </c>
      <c r="G12" s="1">
        <f>$C12*F12</f>
        <v>0.81</v>
      </c>
      <c r="H12" s="1">
        <v>0</v>
      </c>
      <c r="I12" s="1">
        <f>$C12*H12</f>
        <v>0</v>
      </c>
      <c r="J12" s="1">
        <v>0</v>
      </c>
      <c r="K12" s="1">
        <f>$C12*J12</f>
        <v>0</v>
      </c>
      <c r="M12" s="5" t="s">
        <v>71</v>
      </c>
      <c r="N12" s="5">
        <f>G14+I14+K14</f>
        <v>18.010000000000005</v>
      </c>
    </row>
    <row r="13" spans="2:14" x14ac:dyDescent="0.35">
      <c r="B13" s="1" t="s">
        <v>20</v>
      </c>
      <c r="C13" s="8">
        <f>'Synthesis-Final'!$C$24</f>
        <v>1</v>
      </c>
      <c r="D13" s="61">
        <f>'Synthesis-Final'!Y21</f>
        <v>1</v>
      </c>
      <c r="E13" s="1">
        <f t="shared" si="0"/>
        <v>1</v>
      </c>
      <c r="F13" s="8">
        <v>1</v>
      </c>
      <c r="G13" s="1">
        <f>$C13*F13</f>
        <v>1</v>
      </c>
      <c r="H13" s="1">
        <v>0</v>
      </c>
      <c r="I13" s="1">
        <f>$C13*H13</f>
        <v>0</v>
      </c>
      <c r="J13" s="1">
        <v>0</v>
      </c>
      <c r="K13" s="1">
        <f>$C13*J13</f>
        <v>0</v>
      </c>
      <c r="M13" s="5"/>
    </row>
    <row r="14" spans="2:14" x14ac:dyDescent="0.35">
      <c r="B14" s="6" t="s">
        <v>72</v>
      </c>
      <c r="E14">
        <f>SUM(E11:E13)</f>
        <v>18.009999999999998</v>
      </c>
      <c r="F14" s="62">
        <f>'Synthesis-Final'!Y21</f>
        <v>1</v>
      </c>
      <c r="G14" s="4">
        <f>SUM(G11:G13)</f>
        <v>10.810000000000002</v>
      </c>
      <c r="H14" s="48">
        <f>-'Synthesis-Final'!Y22</f>
        <v>0.45</v>
      </c>
      <c r="I14" s="4">
        <f>SUM(I11:I13)</f>
        <v>4.0500000000000007</v>
      </c>
      <c r="J14" s="48">
        <f>-'Synthesis-Final'!Y23</f>
        <v>0.35</v>
      </c>
      <c r="K14" s="4">
        <f>SUM(K11:K13)</f>
        <v>3.1500000000000004</v>
      </c>
    </row>
    <row r="16" spans="2:14" x14ac:dyDescent="0.35">
      <c r="B16" t="s">
        <v>64</v>
      </c>
      <c r="D16">
        <v>0</v>
      </c>
      <c r="F16">
        <v>0</v>
      </c>
      <c r="H16">
        <v>0</v>
      </c>
      <c r="J16">
        <v>0</v>
      </c>
    </row>
    <row r="18" spans="2:14" ht="29.25" customHeight="1" x14ac:dyDescent="0.35">
      <c r="B18" s="3"/>
      <c r="F18" s="69" t="s">
        <v>30</v>
      </c>
      <c r="G18" s="70"/>
      <c r="H18" s="71" t="s">
        <v>53</v>
      </c>
      <c r="I18" s="72"/>
      <c r="J18" s="71" t="s">
        <v>55</v>
      </c>
      <c r="K18" s="72"/>
    </row>
    <row r="19" spans="2:14" ht="43.5" x14ac:dyDescent="0.35">
      <c r="C19" s="2" t="s">
        <v>7</v>
      </c>
      <c r="D19" s="2" t="s">
        <v>73</v>
      </c>
      <c r="E19" s="2" t="s">
        <v>67</v>
      </c>
      <c r="F19" s="2" t="s">
        <v>68</v>
      </c>
      <c r="G19" s="2" t="s">
        <v>61</v>
      </c>
      <c r="H19" s="2" t="s">
        <v>68</v>
      </c>
      <c r="I19" s="2" t="s">
        <v>61</v>
      </c>
      <c r="J19" s="2" t="s">
        <v>68</v>
      </c>
      <c r="K19" s="2" t="s">
        <v>61</v>
      </c>
      <c r="M19" s="15" t="s">
        <v>69</v>
      </c>
      <c r="N19" s="5"/>
    </row>
    <row r="20" spans="2:14" x14ac:dyDescent="0.35">
      <c r="B20" s="1" t="s">
        <v>49</v>
      </c>
      <c r="C20" s="8">
        <f>I14/H14</f>
        <v>9.0000000000000018</v>
      </c>
      <c r="D20" s="46">
        <f>H14</f>
        <v>0.45</v>
      </c>
      <c r="E20" s="1">
        <f>$C20*D20</f>
        <v>4.0500000000000007</v>
      </c>
      <c r="F20" s="7">
        <f>$D20*F$27/($F$27+$H$27+$J$27)</f>
        <v>0.33333333333333331</v>
      </c>
      <c r="G20" s="7">
        <f>$C20*F20</f>
        <v>3.0000000000000004</v>
      </c>
      <c r="H20" s="7">
        <f>$D20*H$27/($F$27+$H$27+$J$27)</f>
        <v>3.3333333333333347E-2</v>
      </c>
      <c r="I20" s="7">
        <f t="shared" ref="I20:I26" si="1">$C20*H20</f>
        <v>0.30000000000000016</v>
      </c>
      <c r="J20" s="7">
        <f>$D20*J$27/($F$27+$H$27+$J$27)</f>
        <v>8.3333333333333356E-2</v>
      </c>
      <c r="K20" s="7">
        <f t="shared" ref="K20:K26" si="2">$C20*J20</f>
        <v>0.75000000000000033</v>
      </c>
      <c r="M20" s="13" t="s">
        <v>70</v>
      </c>
      <c r="N20" s="5">
        <f>SUMPRODUCT(C20:C26,D20:D26)</f>
        <v>14.05</v>
      </c>
    </row>
    <row r="21" spans="2:14" x14ac:dyDescent="0.35">
      <c r="B21" s="1" t="s">
        <v>51</v>
      </c>
      <c r="C21" s="8">
        <f>K14/J14</f>
        <v>9.0000000000000018</v>
      </c>
      <c r="D21" s="46">
        <f>J14</f>
        <v>0.35</v>
      </c>
      <c r="E21" s="1">
        <f t="shared" ref="E21:E26" si="3">$C21*D21</f>
        <v>3.1500000000000004</v>
      </c>
      <c r="F21" s="7">
        <f>$D21*F$27/($F$27+$H$27+$J$27)</f>
        <v>0.25925925925925924</v>
      </c>
      <c r="G21" s="7">
        <f t="shared" ref="G21:G26" si="4">$C21*F21</f>
        <v>2.3333333333333335</v>
      </c>
      <c r="H21" s="7">
        <f>$D21*H$27/($F$27+$H$27+$J$27)</f>
        <v>2.5925925925925929E-2</v>
      </c>
      <c r="I21" s="7">
        <f t="shared" si="1"/>
        <v>0.23333333333333339</v>
      </c>
      <c r="J21" s="7">
        <f>$D21*J$27/($F$27+$H$27+$J$27)</f>
        <v>6.4814814814814825E-2</v>
      </c>
      <c r="K21" s="7">
        <f t="shared" si="2"/>
        <v>0.58333333333333359</v>
      </c>
      <c r="M21" s="5" t="s">
        <v>71</v>
      </c>
      <c r="N21" s="5">
        <f>G27+I27+K27</f>
        <v>14.050000000000002</v>
      </c>
    </row>
    <row r="22" spans="2:14" x14ac:dyDescent="0.35">
      <c r="B22" s="1" t="s">
        <v>12</v>
      </c>
      <c r="C22" s="8">
        <f>'Synthesis-Final'!$C$17</f>
        <v>10</v>
      </c>
      <c r="D22" s="47">
        <f>'Synthesis-Final'!Z17</f>
        <v>0.45</v>
      </c>
      <c r="E22" s="1">
        <f t="shared" si="3"/>
        <v>4.5</v>
      </c>
      <c r="F22" s="7">
        <f>$D22*F$27/($F$27+$H$27+$J$27)</f>
        <v>0.33333333333333331</v>
      </c>
      <c r="G22" s="7">
        <f t="shared" si="4"/>
        <v>3.333333333333333</v>
      </c>
      <c r="H22" s="7">
        <f>$D22*H$27/($F$27+$H$27+$J$27)</f>
        <v>3.3333333333333347E-2</v>
      </c>
      <c r="I22" s="7">
        <f t="shared" si="1"/>
        <v>0.33333333333333348</v>
      </c>
      <c r="J22" s="7">
        <f>$D22*J$27/($F$27+$H$27+$J$27)</f>
        <v>8.3333333333333356E-2</v>
      </c>
      <c r="K22" s="7">
        <f t="shared" si="2"/>
        <v>0.83333333333333359</v>
      </c>
      <c r="M22" s="5"/>
    </row>
    <row r="23" spans="2:14" x14ac:dyDescent="0.35">
      <c r="B23" s="1" t="s">
        <v>62</v>
      </c>
      <c r="C23" s="8">
        <v>0</v>
      </c>
      <c r="D23" s="47">
        <f>'Synthesis-Final'!Z18</f>
        <v>0.2</v>
      </c>
      <c r="E23" s="1">
        <f t="shared" si="3"/>
        <v>0</v>
      </c>
      <c r="F23" s="7">
        <f>$D23*F$27/($F$27+$H$27+$J$27)</f>
        <v>0.14814814814814817</v>
      </c>
      <c r="G23" s="1">
        <f t="shared" si="4"/>
        <v>0</v>
      </c>
      <c r="H23" s="7">
        <f>$D23*H$27/($F$27+$H$27+$J$27)</f>
        <v>1.4814814814814822E-2</v>
      </c>
      <c r="I23" s="1">
        <f t="shared" si="1"/>
        <v>0</v>
      </c>
      <c r="J23" s="7">
        <f>$D23*J$27/($F$27+$H$27+$J$27)</f>
        <v>3.7037037037037049E-2</v>
      </c>
      <c r="K23" s="1">
        <f t="shared" si="2"/>
        <v>0</v>
      </c>
    </row>
    <row r="24" spans="2:14" x14ac:dyDescent="0.35">
      <c r="B24" s="1" t="s">
        <v>14</v>
      </c>
      <c r="C24" s="8">
        <f>'Synthesis-Final'!$C$19</f>
        <v>0.3</v>
      </c>
      <c r="D24" s="47">
        <f>'Synthesis-Final'!AA19</f>
        <v>1.7999999999999998</v>
      </c>
      <c r="E24" s="1">
        <f t="shared" si="3"/>
        <v>0.53999999999999992</v>
      </c>
      <c r="F24" s="7">
        <f>$D24*F$27/($F$27+$H$27+$J$27)</f>
        <v>1.333333333333333</v>
      </c>
      <c r="G24" s="7">
        <f t="shared" si="4"/>
        <v>0.39999999999999991</v>
      </c>
      <c r="H24" s="7">
        <f>$D24*H$27/($F$27+$H$27+$J$27)</f>
        <v>0.13333333333333336</v>
      </c>
      <c r="I24" s="7">
        <f t="shared" si="1"/>
        <v>4.0000000000000008E-2</v>
      </c>
      <c r="J24" s="7">
        <f>$D24*J$27/($F$27+$H$27+$J$27)</f>
        <v>0.33333333333333337</v>
      </c>
      <c r="K24" s="7">
        <f t="shared" si="2"/>
        <v>0.1</v>
      </c>
    </row>
    <row r="25" spans="2:14" x14ac:dyDescent="0.35">
      <c r="B25" s="1" t="s">
        <v>18</v>
      </c>
      <c r="C25" s="8">
        <f>'Synthesis-Final'!$C$22</f>
        <v>0.6</v>
      </c>
      <c r="D25" s="46">
        <f>'Synthesis-Final'!AA20</f>
        <v>1.3499999999999999</v>
      </c>
      <c r="E25" s="1">
        <f t="shared" si="3"/>
        <v>0.80999999999999994</v>
      </c>
      <c r="F25" s="7">
        <v>1.35</v>
      </c>
      <c r="G25" s="7">
        <f t="shared" si="4"/>
        <v>0.81</v>
      </c>
      <c r="H25" s="12">
        <v>0</v>
      </c>
      <c r="I25" s="1">
        <f t="shared" si="1"/>
        <v>0</v>
      </c>
      <c r="J25" s="7">
        <v>0</v>
      </c>
      <c r="K25" s="1">
        <f t="shared" si="2"/>
        <v>0</v>
      </c>
    </row>
    <row r="26" spans="2:14" x14ac:dyDescent="0.35">
      <c r="B26" s="1" t="s">
        <v>21</v>
      </c>
      <c r="C26" s="8">
        <f>'Synthesis-Final'!$C$26</f>
        <v>1</v>
      </c>
      <c r="D26" s="46">
        <f>'Synthesis-Final'!AA21</f>
        <v>0.99999999999999989</v>
      </c>
      <c r="E26" s="1">
        <f t="shared" si="3"/>
        <v>0.99999999999999989</v>
      </c>
      <c r="F26" s="7">
        <v>1</v>
      </c>
      <c r="G26" s="7">
        <f t="shared" si="4"/>
        <v>1</v>
      </c>
      <c r="H26" s="12">
        <v>0</v>
      </c>
      <c r="I26" s="1">
        <f t="shared" si="1"/>
        <v>0</v>
      </c>
      <c r="J26" s="1">
        <v>0</v>
      </c>
      <c r="K26" s="1">
        <f t="shared" si="2"/>
        <v>0</v>
      </c>
    </row>
    <row r="27" spans="2:14" x14ac:dyDescent="0.35">
      <c r="B27" s="6" t="s">
        <v>72</v>
      </c>
      <c r="E27">
        <f>SUM(E20:E26)</f>
        <v>14.05</v>
      </c>
      <c r="F27" s="48">
        <f>'Synthesis-Final'!Z21</f>
        <v>0.99999999999999967</v>
      </c>
      <c r="G27" s="9">
        <f>SUM(G20:G26)</f>
        <v>10.876666666666669</v>
      </c>
      <c r="H27" s="48">
        <f>-'Synthesis-Final'!Z24</f>
        <v>0.1</v>
      </c>
      <c r="I27" s="9">
        <f>SUM(I20:I26)</f>
        <v>0.90666666666666706</v>
      </c>
      <c r="J27" s="48">
        <f>-'Synthesis-Final'!Z25</f>
        <v>0.25</v>
      </c>
      <c r="K27" s="10">
        <f>SUM(K20:K26)</f>
        <v>2.2666666666666675</v>
      </c>
    </row>
    <row r="29" spans="2:14" x14ac:dyDescent="0.35">
      <c r="B29" t="s">
        <v>64</v>
      </c>
      <c r="D29">
        <f>-D23</f>
        <v>-0.2</v>
      </c>
      <c r="F29" s="17">
        <f>$D29*F$27/($F$27+$H$27+$J$27)</f>
        <v>-0.14814814814814817</v>
      </c>
      <c r="H29" s="17">
        <f>$D29*H$27/($F$27+$H$27+$J$27)</f>
        <v>-1.4814814814814822E-2</v>
      </c>
      <c r="J29" s="17">
        <f>$D29*J$27/($F$27+$H$27+$J$27)</f>
        <v>-3.7037037037037049E-2</v>
      </c>
    </row>
    <row r="31" spans="2:14" ht="30.75" customHeight="1" x14ac:dyDescent="0.35">
      <c r="B31" s="3"/>
      <c r="F31" s="69" t="s">
        <v>31</v>
      </c>
      <c r="G31" s="70"/>
      <c r="H31" s="71" t="s">
        <v>57</v>
      </c>
      <c r="I31" s="72"/>
    </row>
    <row r="32" spans="2:14" ht="43.5" x14ac:dyDescent="0.35">
      <c r="C32" s="2" t="s">
        <v>7</v>
      </c>
      <c r="D32" s="2" t="s">
        <v>73</v>
      </c>
      <c r="E32" s="2" t="s">
        <v>67</v>
      </c>
      <c r="F32" s="2" t="s">
        <v>68</v>
      </c>
      <c r="G32" s="2" t="s">
        <v>61</v>
      </c>
      <c r="H32" s="2" t="s">
        <v>68</v>
      </c>
      <c r="I32" s="2" t="s">
        <v>61</v>
      </c>
      <c r="M32" s="15" t="s">
        <v>69</v>
      </c>
      <c r="N32" s="5"/>
    </row>
    <row r="33" spans="2:14" x14ac:dyDescent="0.35">
      <c r="B33" s="1" t="s">
        <v>53</v>
      </c>
      <c r="C33" s="8">
        <f>I27/H27</f>
        <v>9.06666666666667</v>
      </c>
      <c r="D33" s="46">
        <f>H27</f>
        <v>0.1</v>
      </c>
      <c r="E33" s="7">
        <f>$C33*D33</f>
        <v>0.90666666666666706</v>
      </c>
      <c r="F33" s="7">
        <f t="shared" ref="F33:F37" si="5">$D33*F$40/($F$40+$H$40)</f>
        <v>8.3333333333333329E-2</v>
      </c>
      <c r="G33" s="7">
        <f>$C33*F33</f>
        <v>0.75555555555555576</v>
      </c>
      <c r="H33" s="7">
        <f>$D33*H$40/($F$40+$H$40)</f>
        <v>1.666666666666667E-2</v>
      </c>
      <c r="I33" s="7">
        <f t="shared" ref="I33:I39" si="6">$C33*H33</f>
        <v>0.1511111111111112</v>
      </c>
      <c r="M33" s="13" t="s">
        <v>70</v>
      </c>
      <c r="N33" s="14">
        <f>SUMPRODUCT(C33:C39,D33:D39)</f>
        <v>6.9233333333333338</v>
      </c>
    </row>
    <row r="34" spans="2:14" x14ac:dyDescent="0.35">
      <c r="B34" s="1" t="s">
        <v>55</v>
      </c>
      <c r="C34" s="8">
        <f>K27/J27</f>
        <v>9.06666666666667</v>
      </c>
      <c r="D34" s="46">
        <f>J27</f>
        <v>0.25</v>
      </c>
      <c r="E34" s="7">
        <f t="shared" ref="E34:E39" si="7">$C34*D34</f>
        <v>2.2666666666666675</v>
      </c>
      <c r="F34" s="7">
        <f t="shared" si="5"/>
        <v>0.20833333333333331</v>
      </c>
      <c r="G34" s="7">
        <f t="shared" ref="G34:G39" si="8">$C34*F34</f>
        <v>1.8888888888888895</v>
      </c>
      <c r="H34" s="7">
        <f t="shared" ref="H34:H37" si="9">$D34*H$40/($F$40+$H$40)</f>
        <v>4.1666666666666671E-2</v>
      </c>
      <c r="I34" s="7">
        <f t="shared" si="6"/>
        <v>0.37777777777777793</v>
      </c>
      <c r="M34" s="5" t="s">
        <v>71</v>
      </c>
      <c r="N34" s="14">
        <f>G40+I40</f>
        <v>6.9233333333333338</v>
      </c>
    </row>
    <row r="35" spans="2:14" x14ac:dyDescent="0.35">
      <c r="B35" s="1" t="s">
        <v>13</v>
      </c>
      <c r="C35" s="8">
        <f>'Synthesis-Final'!$C$18</f>
        <v>4</v>
      </c>
      <c r="D35" s="47">
        <f>'Synthesis-Final'!AA17</f>
        <v>0.35</v>
      </c>
      <c r="E35" s="1">
        <f t="shared" si="7"/>
        <v>1.4</v>
      </c>
      <c r="F35" s="7">
        <f t="shared" si="5"/>
        <v>0.29166666666666663</v>
      </c>
      <c r="G35" s="7">
        <f t="shared" si="8"/>
        <v>1.1666666666666665</v>
      </c>
      <c r="H35" s="7">
        <f t="shared" si="9"/>
        <v>5.8333333333333327E-2</v>
      </c>
      <c r="I35" s="7">
        <f t="shared" si="6"/>
        <v>0.23333333333333331</v>
      </c>
      <c r="M35" s="5"/>
    </row>
    <row r="36" spans="2:14" x14ac:dyDescent="0.35">
      <c r="B36" s="1" t="s">
        <v>63</v>
      </c>
      <c r="C36" s="8">
        <v>0</v>
      </c>
      <c r="D36" s="53">
        <f>'Synthesis-Final'!AA18</f>
        <v>0.6</v>
      </c>
      <c r="E36" s="1">
        <f t="shared" si="7"/>
        <v>0</v>
      </c>
      <c r="F36" s="7">
        <f t="shared" si="5"/>
        <v>0.49999999999999989</v>
      </c>
      <c r="G36" s="7">
        <f t="shared" si="8"/>
        <v>0</v>
      </c>
      <c r="H36" s="7">
        <f t="shared" si="9"/>
        <v>0.1</v>
      </c>
      <c r="I36" s="1">
        <f t="shared" si="6"/>
        <v>0</v>
      </c>
    </row>
    <row r="37" spans="2:14" x14ac:dyDescent="0.35">
      <c r="B37" s="1" t="s">
        <v>15</v>
      </c>
      <c r="C37" s="8">
        <f>'Synthesis-Final'!$C$20</f>
        <v>0.3</v>
      </c>
      <c r="D37" s="46">
        <f>'Synthesis-Final'!AA19</f>
        <v>1.7999999999999998</v>
      </c>
      <c r="E37" s="1">
        <f t="shared" si="7"/>
        <v>0.53999999999999992</v>
      </c>
      <c r="F37" s="7">
        <f t="shared" si="5"/>
        <v>1.4999999999999998</v>
      </c>
      <c r="G37" s="7">
        <f t="shared" si="8"/>
        <v>0.4499999999999999</v>
      </c>
      <c r="H37" s="7">
        <f t="shared" si="9"/>
        <v>0.3</v>
      </c>
      <c r="I37" s="1">
        <f t="shared" si="6"/>
        <v>0.09</v>
      </c>
    </row>
    <row r="38" spans="2:14" x14ac:dyDescent="0.35">
      <c r="B38" s="1" t="s">
        <v>19</v>
      </c>
      <c r="C38" s="8">
        <f>'Synthesis-Final'!$C$23</f>
        <v>0.6</v>
      </c>
      <c r="D38" s="46">
        <f>'Synthesis-Final'!AA20</f>
        <v>1.3499999999999999</v>
      </c>
      <c r="E38" s="1">
        <f t="shared" si="7"/>
        <v>0.80999999999999994</v>
      </c>
      <c r="F38" s="1">
        <v>1.35</v>
      </c>
      <c r="G38" s="7">
        <f t="shared" si="8"/>
        <v>0.81</v>
      </c>
      <c r="H38" s="7">
        <v>0</v>
      </c>
      <c r="I38" s="1">
        <f t="shared" si="6"/>
        <v>0</v>
      </c>
    </row>
    <row r="39" spans="2:14" x14ac:dyDescent="0.35">
      <c r="B39" s="1" t="s">
        <v>22</v>
      </c>
      <c r="C39" s="8">
        <f>'Synthesis-Final'!$C$26</f>
        <v>1</v>
      </c>
      <c r="D39" s="46">
        <f>'Synthesis-Final'!AA21</f>
        <v>0.99999999999999989</v>
      </c>
      <c r="E39" s="1">
        <f t="shared" si="7"/>
        <v>0.99999999999999989</v>
      </c>
      <c r="F39" s="1">
        <v>1</v>
      </c>
      <c r="G39" s="7">
        <f t="shared" si="8"/>
        <v>1</v>
      </c>
      <c r="H39" s="1">
        <v>0</v>
      </c>
      <c r="I39" s="1">
        <f t="shared" si="6"/>
        <v>0</v>
      </c>
    </row>
    <row r="40" spans="2:14" x14ac:dyDescent="0.35">
      <c r="B40" s="6" t="s">
        <v>72</v>
      </c>
      <c r="E40" s="7">
        <f>SUM(E33:E39)</f>
        <v>6.9233333333333338</v>
      </c>
      <c r="F40" s="48">
        <f>'Synthesis-Final'!AA21</f>
        <v>0.99999999999999989</v>
      </c>
      <c r="G40" s="9">
        <f>SUM(G33:G39)</f>
        <v>6.0711111111111116</v>
      </c>
      <c r="H40" s="48">
        <f>-'Synthesis-Final'!AA26</f>
        <v>0.2</v>
      </c>
      <c r="I40" s="9">
        <f>SUM(I33:I39)</f>
        <v>0.85222222222222244</v>
      </c>
    </row>
    <row r="42" spans="2:14" x14ac:dyDescent="0.35">
      <c r="B42" t="s">
        <v>64</v>
      </c>
      <c r="D42" s="17">
        <f>-D36+H29+J29</f>
        <v>-0.6518518518518519</v>
      </c>
      <c r="E42" s="17"/>
      <c r="F42" s="17">
        <f>$D42*F$40/($F$40+$H$40)</f>
        <v>-0.54320987654320985</v>
      </c>
      <c r="H42" s="17">
        <f>$D42*H$40/($F$40+$H$40)</f>
        <v>-0.10864197530864199</v>
      </c>
    </row>
    <row r="45" spans="2:14" x14ac:dyDescent="0.35">
      <c r="B45" t="s">
        <v>75</v>
      </c>
      <c r="C45" s="17">
        <f>G14+G27+G40+I40</f>
        <v>28.610000000000007</v>
      </c>
      <c r="E45" s="17"/>
      <c r="F45" s="17"/>
    </row>
  </sheetData>
  <mergeCells count="8">
    <mergeCell ref="F31:G31"/>
    <mergeCell ref="H31:I31"/>
    <mergeCell ref="F9:G9"/>
    <mergeCell ref="H9:I9"/>
    <mergeCell ref="J9:K9"/>
    <mergeCell ref="F18:G18"/>
    <mergeCell ref="H18:I18"/>
    <mergeCell ref="J18:K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Synthesis</vt:lpstr>
      <vt:lpstr>Synthesis-Final</vt:lpstr>
      <vt:lpstr>Co-product-Final</vt:lpstr>
      <vt:lpstr>Synthesis!_Toc112422176</vt:lpstr>
      <vt:lpstr>'Synthesis-Final'!_Toc112422176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Guillaume Audard</dc:creator>
  <cp:keywords/>
  <dc:description/>
  <cp:lastModifiedBy>Marlen Bertram</cp:lastModifiedBy>
  <cp:revision/>
  <dcterms:created xsi:type="dcterms:W3CDTF">2022-08-26T14:58:34Z</dcterms:created>
  <dcterms:modified xsi:type="dcterms:W3CDTF">2025-09-11T21:11:43Z</dcterms:modified>
  <cp:category/>
  <cp:contentStatus/>
</cp:coreProperties>
</file>